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" yWindow="696" windowWidth="14892" windowHeight="9456" tabRatio="647"/>
  </bookViews>
  <sheets>
    <sheet name="ОЛ ПКУ" sheetId="1" r:id="rId1"/>
    <sheet name="Список" sheetId="2" state="hidden" r:id="rId2"/>
  </sheets>
  <externalReferences>
    <externalReference r:id="rId3"/>
  </externalReferences>
  <definedNames>
    <definedName name="_10_кВ">Список!$C$38:$E$38</definedName>
    <definedName name="_6_кВ">Список!$C$37:$E$37</definedName>
    <definedName name="GSM">[1]Списки!$D$54:$I$54</definedName>
    <definedName name="Iномсекц">[1]Списки!$C$39:$L$39</definedName>
    <definedName name="Uном">[1]Списки!$C$12:$D$12</definedName>
    <definedName name="ав">#REF!</definedName>
    <definedName name="автоматы">'[1]автоматы и токи'!$B$1:$Z$1</definedName>
    <definedName name="Амперметры">[1]Списки!$C$34:$D$34</definedName>
    <definedName name="ВентТО">[1]Списки!$C$9:$D$9</definedName>
    <definedName name="ВНАп">[1]Списки!$C$18:$G$18</definedName>
    <definedName name="ВоздухКабель">[1]Списки!$C$13:$D$13</definedName>
    <definedName name="Вольтметр">[1]Списки!$C$33:$D$33</definedName>
    <definedName name="ЗНОЛП_10">Список!$F$8:$G$8</definedName>
    <definedName name="ЗНОЛП_6">Список!$B$8:$E$8</definedName>
    <definedName name="класснапряжПКУ">Список!$C$35:$D$35</definedName>
    <definedName name="Климат">[1]Списки!$C$15:$D$15</definedName>
    <definedName name="КолОЛ">[1]Списки!$C$46:$X$46</definedName>
    <definedName name="Колтр">[1]Списки!$C$7:$D$7</definedName>
    <definedName name="Комм">[1]Списки!$C$55:$S$55</definedName>
    <definedName name="МГ">[1]Списки!$C$17:$D$17</definedName>
    <definedName name="модуль">#REF!</definedName>
    <definedName name="Мощность">[1]Списки!$C$8:$K$8</definedName>
    <definedName name="НОЛ.08_10М">Список!$F$8</definedName>
    <definedName name="НОЛ.08_6М">Список!$B$8</definedName>
    <definedName name="НОЛП_10">Список!$F$8:$G$8</definedName>
    <definedName name="НОЛП_6">Список!$B$8:$E$8</definedName>
    <definedName name="_xlnm.Print_Area" localSheetId="0">'ОЛ ПКУ'!$A$3:$U$52</definedName>
    <definedName name="опн">#REF!</definedName>
    <definedName name="ОПННН">[1]Списки!$C$35:$H$35</definedName>
    <definedName name="разъединительввод">[1]Списки!$C$28:$H$28</definedName>
    <definedName name="Разъедсекц">[1]Списки!$C$40:$H$40</definedName>
    <definedName name="рвн">#REF!</definedName>
    <definedName name="ре19">#REF!</definedName>
    <definedName name="Схематр">[1]Списки!$C$11:$F$11</definedName>
    <definedName name="счвозмвстрмод">Список!$A$111:$A$115</definedName>
    <definedName name="счетчик">#REF!</definedName>
    <definedName name="счсвстрмод">Список!$A$117,Список!$A$120,Список!$A$126,Список!$A$128</definedName>
    <definedName name="Тип">#REF!</definedName>
    <definedName name="Типсчетчика">[1]Списки!$C$52:$F$52</definedName>
    <definedName name="Типтр">[1]Списки!$C$10:$G$10</definedName>
    <definedName name="Тртока">[1]Списки!$G$32:$W$32</definedName>
    <definedName name="Тртокаввод">[1]Списки!$C$32:$F$32</definedName>
    <definedName name="тсн">#REF!</definedName>
    <definedName name="тт">#REF!</definedName>
    <definedName name="Тупиковая">[1]Списки!$C$6:$D$6</definedName>
    <definedName name="увн">#REF!</definedName>
    <definedName name="Фидер">[1]Списки!$C$61:$I$61</definedName>
    <definedName name="Фотореле">[1]Списки!$C$62:$F$62</definedName>
  </definedNames>
  <calcPr calcId="145621"/>
</workbook>
</file>

<file path=xl/calcChain.xml><?xml version="1.0" encoding="utf-8"?>
<calcChain xmlns="http://schemas.openxmlformats.org/spreadsheetml/2006/main">
  <c r="L50" i="1" l="1"/>
  <c r="B45" i="1"/>
  <c r="T26" i="1"/>
  <c r="T10" i="1"/>
  <c r="R10" i="1"/>
  <c r="K34" i="1"/>
  <c r="K32" i="1"/>
  <c r="K103" i="2"/>
  <c r="K33" i="1"/>
  <c r="I96" i="2"/>
  <c r="I94" i="2"/>
  <c r="I91" i="2"/>
  <c r="L92" i="2"/>
  <c r="L91" i="2"/>
  <c r="I95" i="2"/>
  <c r="I98" i="2"/>
  <c r="I93" i="2"/>
  <c r="I97" i="2"/>
  <c r="I92" i="2"/>
  <c r="E38" i="2"/>
  <c r="E37" i="2"/>
  <c r="C38" i="2"/>
  <c r="C37" i="2"/>
  <c r="D37" i="2"/>
  <c r="O10" i="1"/>
  <c r="D38" i="2"/>
  <c r="N10" i="1"/>
  <c r="N12" i="1" s="1"/>
  <c r="N35" i="1"/>
  <c r="N11" i="1"/>
  <c r="F7" i="2"/>
  <c r="C7" i="2"/>
  <c r="K30" i="1"/>
  <c r="L33" i="1"/>
  <c r="K26" i="1"/>
  <c r="N23" i="1"/>
  <c r="L10" i="1"/>
  <c r="M34" i="1"/>
  <c r="P26" i="1"/>
  <c r="N20" i="1"/>
  <c r="K16" i="1"/>
  <c r="F81" i="2" l="1"/>
  <c r="F84" i="2"/>
  <c r="F82" i="2"/>
  <c r="F80" i="2"/>
  <c r="F83" i="2"/>
  <c r="C49" i="1"/>
  <c r="I99" i="2"/>
  <c r="K105" i="2" s="1"/>
  <c r="F85" i="2"/>
  <c r="O12" i="1"/>
  <c r="F104" i="2" l="1"/>
  <c r="F106" i="2" s="1"/>
  <c r="F86" i="2"/>
  <c r="K106" i="2"/>
  <c r="G104" i="2" l="1"/>
  <c r="T49" i="1" s="1"/>
  <c r="I116" i="2"/>
  <c r="I110" i="2"/>
  <c r="G86" i="2"/>
  <c r="I111" i="2"/>
  <c r="I112" i="2"/>
  <c r="I109" i="2"/>
  <c r="I115" i="2"/>
  <c r="I113" i="2"/>
  <c r="C106" i="2"/>
  <c r="I167" i="2" l="1"/>
  <c r="I168" i="2" s="1"/>
  <c r="Q50" i="1" s="1"/>
</calcChain>
</file>

<file path=xl/sharedStrings.xml><?xml version="1.0" encoding="utf-8"?>
<sst xmlns="http://schemas.openxmlformats.org/spreadsheetml/2006/main" count="414" uniqueCount="241">
  <si>
    <t>Да</t>
  </si>
  <si>
    <t>Нет</t>
  </si>
  <si>
    <t>НЕТ</t>
  </si>
  <si>
    <t>Организация</t>
  </si>
  <si>
    <t>Контактное лицо</t>
  </si>
  <si>
    <t>Контактный телефон</t>
  </si>
  <si>
    <t>Количество, шт.</t>
  </si>
  <si>
    <t>Примечания</t>
  </si>
  <si>
    <t>Тип счетчика эл. эн.</t>
  </si>
  <si>
    <t>Марка счетчика эл. эн.</t>
  </si>
  <si>
    <t xml:space="preserve">Обозначение: </t>
  </si>
  <si>
    <t>Активный</t>
  </si>
  <si>
    <t>Реактивный</t>
  </si>
  <si>
    <t>Активно-реактивный</t>
  </si>
  <si>
    <t>Другой</t>
  </si>
  <si>
    <t>Блок питания TELEOFIS DPS 12-12</t>
  </si>
  <si>
    <t>Антенна    Triada BA-996 SOTA 1,5m SMA 3G</t>
  </si>
  <si>
    <t>Антена GSM</t>
  </si>
  <si>
    <t>Блок питания Mean Well DR-30-12</t>
  </si>
  <si>
    <t xml:space="preserve"> </t>
  </si>
  <si>
    <t>Встроен в счетчик</t>
  </si>
  <si>
    <t>рекомендуемое</t>
  </si>
  <si>
    <t>GSM C-1.02</t>
  </si>
  <si>
    <t>КТПК-П-ВВ-630/10/0,4 УХЛ1</t>
  </si>
  <si>
    <t>ОПНп-10/12,7/680 УХЛ1</t>
  </si>
  <si>
    <t>ОПНп-6/6,6/550 УХЛ1</t>
  </si>
  <si>
    <t>ОПНп-6/6,9/550 УХЛ1</t>
  </si>
  <si>
    <t>ОПНп-6/7,2/550 УХЛ1</t>
  </si>
  <si>
    <t>ОПНп-6/7,6/550 УХЛ1</t>
  </si>
  <si>
    <t>ОПНп-6/6,6/680 УХЛ1</t>
  </si>
  <si>
    <t>ОПНп-6/6,9/680 УХЛ1</t>
  </si>
  <si>
    <t>ОПНп-6/7,2/680 УХЛ1</t>
  </si>
  <si>
    <t>ОПНп-6/7,6/680 УХЛ1</t>
  </si>
  <si>
    <t>ОПНп-10/11/550 УХЛ1</t>
  </si>
  <si>
    <t>ОПНп-10/11,5/550 УХЛ1</t>
  </si>
  <si>
    <t>ОПНп-10/12/550 УХЛ1</t>
  </si>
  <si>
    <t>ОПНп-10/12,7/550 УХЛ1</t>
  </si>
  <si>
    <t>ОПНп-10/11/680 УХЛ1</t>
  </si>
  <si>
    <t>ОПНп-10/11,5/680 УХЛ1</t>
  </si>
  <si>
    <t>ОПНп-10/12/680 УХЛ1</t>
  </si>
  <si>
    <t>СЭТ-4ТМ.03М</t>
  </si>
  <si>
    <t>ОПНп-10/12/400 УХЛ1</t>
  </si>
  <si>
    <t>Опросный лист для ПКУ</t>
  </si>
  <si>
    <t>Класс напряжения</t>
  </si>
  <si>
    <t>Схема (количество ТТ и ТН)</t>
  </si>
  <si>
    <t>Тип трансформатора напряжения</t>
  </si>
  <si>
    <t>Крепление высоковольтного модуля (ВМ)</t>
  </si>
  <si>
    <t>Промежуточный блок зажимов в ВМ</t>
  </si>
  <si>
    <t>Класс точности вторичной обмотки</t>
  </si>
  <si>
    <t>Трансформаторы тока ТПОЛ-10-III</t>
  </si>
  <si>
    <t>Номинальный первичный ток, А</t>
  </si>
  <si>
    <t>Номинальное напряжение первичной обмотки, кВ</t>
  </si>
  <si>
    <t>Разъединитель</t>
  </si>
  <si>
    <t>ОПН</t>
  </si>
  <si>
    <t>Рама для крепления на опоре</t>
  </si>
  <si>
    <t>Дополнительная комплектация</t>
  </si>
  <si>
    <t>Шкаф учета с креплением на опору</t>
  </si>
  <si>
    <t>GSM-модем, коммуникатор</t>
  </si>
  <si>
    <t>ПКУ</t>
  </si>
  <si>
    <t>3ТТ и 3ТН</t>
  </si>
  <si>
    <t>2ТТ и 3ТН</t>
  </si>
  <si>
    <t>2ТТ и 2ТН</t>
  </si>
  <si>
    <t>опора:</t>
  </si>
  <si>
    <t>0,2S</t>
  </si>
  <si>
    <t>0,5S</t>
  </si>
  <si>
    <t>РЛНД</t>
  </si>
  <si>
    <t>600х400х200мм</t>
  </si>
  <si>
    <t>Количество комплектов</t>
  </si>
  <si>
    <t>СВ-105</t>
  </si>
  <si>
    <t>СВ-110</t>
  </si>
  <si>
    <t>GSM TELEOFIS RX108-R4</t>
  </si>
  <si>
    <t>Кабель в металлорукаве от МВ до шкафа учета</t>
  </si>
  <si>
    <t>Наличие обогрева шкафа учета</t>
  </si>
  <si>
    <t>ЗНОЛП-10</t>
  </si>
  <si>
    <t>Номинальная мощность измерительной обмотки при указанном классе точности, ВА</t>
  </si>
  <si>
    <t>Номинальная мощность дополнительной вторичной обмотки при указанном классе точности, ВА</t>
  </si>
  <si>
    <t>Предельная мощность вне класса точности, ВА</t>
  </si>
  <si>
    <t>для ТТ</t>
  </si>
  <si>
    <t>для ТН</t>
  </si>
  <si>
    <t>Трансформатор напряжения</t>
  </si>
  <si>
    <t>НОЛ.08-6М</t>
  </si>
  <si>
    <t>НОЛ.08-10М</t>
  </si>
  <si>
    <t>ЗНОЛП-6</t>
  </si>
  <si>
    <t>Главный список</t>
  </si>
  <si>
    <t>_6_кВ</t>
  </si>
  <si>
    <t>_10_кВ</t>
  </si>
  <si>
    <t>ЗНОЛП_6</t>
  </si>
  <si>
    <t>НОЛП_6</t>
  </si>
  <si>
    <t>НОЛ.08_6М</t>
  </si>
  <si>
    <t>ЗНОЛП_10</t>
  </si>
  <si>
    <t>НОЛП_10</t>
  </si>
  <si>
    <t>НОЛ.08_10М</t>
  </si>
  <si>
    <t>Таблица для заполнения ОЛ на ТН</t>
  </si>
  <si>
    <t>ТН</t>
  </si>
  <si>
    <t>e-mail:</t>
  </si>
  <si>
    <t>ОАО "Свердловский завод трансформаторов тока", 620043, Г.Екатеринбург ул. Черкасская,25 тел./343/ 234-31-04      факс /343/212-52-55                     e-mail:marketing@cztt.ru   cztt@cztt.ru   сайт: www.cztt.ru</t>
  </si>
  <si>
    <t>перв.ток</t>
  </si>
  <si>
    <t>термика</t>
  </si>
  <si>
    <t>динамика</t>
  </si>
  <si>
    <t>термика и динамика ТТ</t>
  </si>
  <si>
    <r>
      <t xml:space="preserve">Кабель в металлорукаве от МВ до шкафа учета </t>
    </r>
    <r>
      <rPr>
        <sz val="11"/>
        <color indexed="8"/>
        <rFont val="Arial"/>
        <family val="2"/>
        <charset val="204"/>
      </rPr>
      <t>(установлены наконечники с одной стороны)</t>
    </r>
  </si>
  <si>
    <t>Наконечники для кабеля МВ со стороны шкафа учета</t>
  </si>
  <si>
    <t>Инструмент для опрессовки наконечников</t>
  </si>
  <si>
    <t>Комплект переносных знаков</t>
  </si>
  <si>
    <t>Формирование номера схемы МВ:</t>
  </si>
  <si>
    <t>№</t>
  </si>
  <si>
    <t>ТТ</t>
  </si>
  <si>
    <t>2х  НОЛП</t>
  </si>
  <si>
    <t>2х  ТПОЛ</t>
  </si>
  <si>
    <t>3х  ЗНОЛП</t>
  </si>
  <si>
    <t>3х  НОЛ.08</t>
  </si>
  <si>
    <t>3х  ТПОЛ</t>
  </si>
  <si>
    <t>схема</t>
  </si>
  <si>
    <t>ПКУ-10-Н-2</t>
  </si>
  <si>
    <t>ПКУ-10-ЗН-2</t>
  </si>
  <si>
    <t>ПКУ-10-НОЛ08-2</t>
  </si>
  <si>
    <t>ПКУ-10-Н-3</t>
  </si>
  <si>
    <t>ПКУ-10-ЗН-3</t>
  </si>
  <si>
    <t>ПКУ-10-НОЛ08-3</t>
  </si>
  <si>
    <t>Схема:</t>
  </si>
  <si>
    <t>номер</t>
  </si>
  <si>
    <t>-для опросного листа</t>
  </si>
  <si>
    <t>3ТТ и 2ТН</t>
  </si>
  <si>
    <t>Формирование номера схемы МН:</t>
  </si>
  <si>
    <t>ХХ - исполнение шкафа учета</t>
  </si>
  <si>
    <t xml:space="preserve">счетчик 
</t>
  </si>
  <si>
    <t>обогрев шкафа учета</t>
  </si>
  <si>
    <t>GSM модем С1-02 с антенной</t>
  </si>
  <si>
    <t>GSM модем RX-108-R4 с антенной</t>
  </si>
  <si>
    <r>
      <t>встроенный GSM модем С1-02.01 с антенной</t>
    </r>
    <r>
      <rPr>
        <b/>
        <sz val="18"/>
        <color indexed="8"/>
        <rFont val="Calibri"/>
        <family val="2"/>
        <charset val="204"/>
      </rPr>
      <t xml:space="preserve"> *</t>
    </r>
  </si>
  <si>
    <t>концевой выкл.шкафа учета</t>
  </si>
  <si>
    <t>00</t>
  </si>
  <si>
    <t>01</t>
  </si>
  <si>
    <t>02</t>
  </si>
  <si>
    <t>03</t>
  </si>
  <si>
    <t>04</t>
  </si>
  <si>
    <t>*</t>
  </si>
  <si>
    <t>СЭТ-4ТМ</t>
  </si>
  <si>
    <t>ПСЧ-4ТМ.05МК</t>
  </si>
  <si>
    <t>05</t>
  </si>
  <si>
    <t>06</t>
  </si>
  <si>
    <t>07</t>
  </si>
  <si>
    <t>генератор кода</t>
  </si>
  <si>
    <t>С29=</t>
  </si>
  <si>
    <t>С32=</t>
  </si>
  <si>
    <t>Формирование номера схемы счетчика:</t>
  </si>
  <si>
    <t xml:space="preserve"> ТН + ТТ </t>
  </si>
  <si>
    <t>Схема ПКУ</t>
  </si>
  <si>
    <t>Схема счетчика по типу</t>
  </si>
  <si>
    <t>ПКУ-10-Н-2 МВ</t>
  </si>
  <si>
    <t xml:space="preserve">2хНОЛП - 2хТПОЛ </t>
  </si>
  <si>
    <t>ПКУ-10-Н-2-ХХ</t>
  </si>
  <si>
    <t xml:space="preserve">-00           </t>
  </si>
  <si>
    <t xml:space="preserve">-01            </t>
  </si>
  <si>
    <t>ПКУ-10-СЭТ-1-00 PIK</t>
  </si>
  <si>
    <t>-03</t>
  </si>
  <si>
    <t>ПКУ-10-ПСЧ-1-00 PIK</t>
  </si>
  <si>
    <t xml:space="preserve">-04 </t>
  </si>
  <si>
    <t>ПКУ-10-М234-1-00 PIK</t>
  </si>
  <si>
    <t>-05</t>
  </si>
  <si>
    <t>ПКУ-10-СЕ303-1-00 PIK</t>
  </si>
  <si>
    <t xml:space="preserve">-06 </t>
  </si>
  <si>
    <t xml:space="preserve">-02          </t>
  </si>
  <si>
    <t xml:space="preserve">ПКУ-10-ПСЧ-1-02 PIK </t>
  </si>
  <si>
    <t>-07</t>
  </si>
  <si>
    <t>ПКУ-10-СЭТ-1-02 PIK</t>
  </si>
  <si>
    <t>ПКУ-10-ЗН-2 МВ</t>
  </si>
  <si>
    <t>3хЗНОЛП - 2хТПОЛ</t>
  </si>
  <si>
    <t>ПКУ-10-ЗН-2-ХХ</t>
  </si>
  <si>
    <t>ПКУ-10-СЭТ-3-00 PIK</t>
  </si>
  <si>
    <t>ПКУ-10-ПСЧ-3-00 PIK</t>
  </si>
  <si>
    <t>ПКУ-10-М234-3-00 PIK</t>
  </si>
  <si>
    <t>ПКУ-10-СЕ303-3-00 PIK</t>
  </si>
  <si>
    <t xml:space="preserve">-02           </t>
  </si>
  <si>
    <t>ПКУ-10-ПСЧ-3-02 PIK</t>
  </si>
  <si>
    <t>ПКУ-10-СЭТ-3-02 PIK</t>
  </si>
  <si>
    <t>ПКУ-10-НОЛ.08-2  МВ</t>
  </si>
  <si>
    <t>3хНОЛ.08 - 2хТПОЛ</t>
  </si>
  <si>
    <t>ПКУ-10-НОЛ.08-2-ХХ</t>
  </si>
  <si>
    <t xml:space="preserve">-02.1            </t>
  </si>
  <si>
    <t>-07.1</t>
  </si>
  <si>
    <t>-02.2</t>
  </si>
  <si>
    <t>-07.2</t>
  </si>
  <si>
    <t>ПКУ-10-Н-3 МВ</t>
  </si>
  <si>
    <t xml:space="preserve">2хНОЛП - 3хТПОЛ </t>
  </si>
  <si>
    <t>ПКУ-10-Н-3-ХХ</t>
  </si>
  <si>
    <t>ПКУ-10-СЭТ-2-00 PIK</t>
  </si>
  <si>
    <t>ПКУ-10-ПСЧ-2-00 PIK</t>
  </si>
  <si>
    <t>ПКУ-10-М234-2-00 PIK</t>
  </si>
  <si>
    <t>ПКУ-10-СЕ303-2-00 PIK</t>
  </si>
  <si>
    <t xml:space="preserve">-02         </t>
  </si>
  <si>
    <t>ПКУ-10-ПСЧ-2-02 PIK</t>
  </si>
  <si>
    <t>ПКУ-10-СЭТ-2-02 PIK</t>
  </si>
  <si>
    <t>ПКУ-10-ЗН-3 МВ</t>
  </si>
  <si>
    <t>3хЗНОЛП - 3хТПОЛ</t>
  </si>
  <si>
    <t>ПКУ-10-ЗН-3-ХХ</t>
  </si>
  <si>
    <t>ПКУ-10-СЭТ-4-00 PIK</t>
  </si>
  <si>
    <t>ПКУ-10-ПСЧ-4-00 PIK</t>
  </si>
  <si>
    <t>ПКУ-10-М234-4-00 PIK</t>
  </si>
  <si>
    <t>ПКУ-10-СЕ303-4-00 PIK</t>
  </si>
  <si>
    <t>ПКУ-10-ПСЧ-4-02 PIK</t>
  </si>
  <si>
    <t>ПКУ-10-СЭТ-4-02 PIK</t>
  </si>
  <si>
    <t>ПКУ-10-НОЛ.08-3 МВ</t>
  </si>
  <si>
    <t>3хНОЛ.08 - 3хТПОЛ</t>
  </si>
  <si>
    <t>ПКУ-10-НОЛ.08-3-ХХ</t>
  </si>
  <si>
    <t>МН</t>
  </si>
  <si>
    <t>МВ</t>
  </si>
  <si>
    <t xml:space="preserve">СЭТ-4ТМ.03М.01 </t>
  </si>
  <si>
    <r>
      <t>СЭТ-4ТМ.02М.03</t>
    </r>
    <r>
      <rPr>
        <sz val="11"/>
        <color theme="1"/>
        <rFont val="Calibri"/>
        <family val="2"/>
        <charset val="204"/>
        <scheme val="minor"/>
      </rPr>
      <t/>
    </r>
  </si>
  <si>
    <r>
      <t>СЭТ-4ТМ.03М.05</t>
    </r>
    <r>
      <rPr>
        <sz val="11"/>
        <color theme="1"/>
        <rFont val="Calibri"/>
        <family val="2"/>
        <charset val="204"/>
        <scheme val="minor"/>
      </rPr>
      <t/>
    </r>
  </si>
  <si>
    <r>
      <t>СЭТ-4ТМ.02М.07</t>
    </r>
    <r>
      <rPr>
        <sz val="11"/>
        <color theme="1"/>
        <rFont val="Calibri"/>
        <family val="2"/>
        <charset val="204"/>
        <scheme val="minor"/>
      </rPr>
      <t/>
    </r>
  </si>
  <si>
    <t>ПСЧ-4ТМ.05МК.00</t>
  </si>
  <si>
    <t>ПСЧ-4ТМ.05МК.00.01*</t>
  </si>
  <si>
    <t>ПСЧ-4ТМ.05МК.01</t>
  </si>
  <si>
    <t>ПСЧ-4ТМ.05МК.12</t>
  </si>
  <si>
    <t>ПСЧ-4ТМ.05МК.12.01*</t>
  </si>
  <si>
    <t>ПСЧ-4ТМ.05МК.13</t>
  </si>
  <si>
    <t>СE 303 S31 503 JAVZ</t>
  </si>
  <si>
    <t>СE 303 S31 503 JGVZ(12)</t>
  </si>
  <si>
    <t>M234 ART-00 P</t>
  </si>
  <si>
    <t>M234 ARTM-00 PВ.R</t>
  </si>
  <si>
    <t>M234 ARTM-00 PВ.G</t>
  </si>
  <si>
    <t>M234 ARTM2-00 PВ.R</t>
  </si>
  <si>
    <t>M234 ARTM2-00 PВ.G</t>
  </si>
  <si>
    <t>код</t>
  </si>
  <si>
    <t>F104</t>
  </si>
  <si>
    <t>'ОЛ ПКУ'!K31</t>
  </si>
  <si>
    <t>сч.нестандарт</t>
  </si>
  <si>
    <t>F86</t>
  </si>
  <si>
    <t>резерв</t>
  </si>
  <si>
    <t>PВ.G</t>
  </si>
  <si>
    <t>контроль/замена</t>
  </si>
  <si>
    <t>ОШИБКА-нет исполнения счетчика с модемом!</t>
  </si>
  <si>
    <t>схема счетчика:</t>
  </si>
  <si>
    <t>Списки счетчиков</t>
  </si>
  <si>
    <t>ТТ:</t>
  </si>
  <si>
    <t>ТН:</t>
  </si>
  <si>
    <t>Степень защиты: МВ - IP43, МН - IP54</t>
  </si>
  <si>
    <t>Одна вторичная обмотка</t>
  </si>
  <si>
    <t>ПКУ-6-3Н-3</t>
  </si>
  <si>
    <t>700х500х200мм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</si>
</sst>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3" tint="-0.249977111117893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rgb="FF00B050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0"/>
      <name val="Arial"/>
      <family val="2"/>
      <charset val="204"/>
    </font>
    <font>
      <u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6"/>
      <color rgb="FF0033CC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rgb="FF0033CC"/>
      <name val="Arial"/>
      <family val="2"/>
      <charset val="204"/>
    </font>
    <font>
      <b/>
      <sz val="11"/>
      <color rgb="FF0033CC"/>
      <name val="Arial"/>
      <family val="2"/>
      <charset val="204"/>
    </font>
    <font>
      <b/>
      <sz val="11"/>
      <color theme="2"/>
      <name val="Arial"/>
      <family val="2"/>
      <charset val="204"/>
    </font>
    <font>
      <b/>
      <sz val="11"/>
      <color theme="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8" tint="-0.249977111117893"/>
      <name val="Arial"/>
      <family val="2"/>
      <charset val="204"/>
    </font>
    <font>
      <sz val="11"/>
      <color theme="8" tint="-0.249977111117893"/>
      <name val="Arial"/>
      <family val="2"/>
      <charset val="204"/>
    </font>
    <font>
      <sz val="11"/>
      <color theme="8" tint="-0.249977111117893"/>
      <name val="Calibri"/>
      <family val="2"/>
      <charset val="204"/>
      <scheme val="minor"/>
    </font>
    <font>
      <b/>
      <sz val="11"/>
      <color theme="3"/>
      <name val="Arial"/>
      <family val="2"/>
      <charset val="204"/>
    </font>
    <font>
      <b/>
      <sz val="11"/>
      <color theme="6" tint="-0.499984740745262"/>
      <name val="Arial"/>
      <family val="2"/>
      <charset val="204"/>
    </font>
    <font>
      <b/>
      <sz val="10"/>
      <color theme="3" tint="-0.249977111117893"/>
      <name val="Arial"/>
      <family val="2"/>
      <charset val="204"/>
    </font>
    <font>
      <b/>
      <sz val="16"/>
      <color rgb="FFC00000"/>
      <name val="Arial Cyr"/>
      <charset val="204"/>
    </font>
    <font>
      <b/>
      <sz val="10"/>
      <color theme="3"/>
      <name val="Arial"/>
      <family val="2"/>
      <charset val="204"/>
    </font>
    <font>
      <sz val="10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10" fillId="0" borderId="0"/>
  </cellStyleXfs>
  <cellXfs count="237">
    <xf numFmtId="0" fontId="0" fillId="0" borderId="0" xfId="0"/>
    <xf numFmtId="0" fontId="13" fillId="0" borderId="0" xfId="0" applyFont="1"/>
    <xf numFmtId="0" fontId="1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4" fillId="0" borderId="0" xfId="0" applyFont="1" applyAlignment="1">
      <alignment horizontal="center"/>
    </xf>
    <xf numFmtId="0" fontId="15" fillId="0" borderId="1" xfId="0" applyFont="1" applyBorder="1"/>
    <xf numFmtId="0" fontId="16" fillId="2" borderId="0" xfId="0" applyFont="1" applyFill="1" applyBorder="1" applyAlignment="1"/>
    <xf numFmtId="0" fontId="13" fillId="0" borderId="0" xfId="0" applyFont="1" applyBorder="1"/>
    <xf numFmtId="0" fontId="14" fillId="0" borderId="0" xfId="0" applyFont="1" applyAlignment="1">
      <alignment vertical="top" wrapText="1"/>
    </xf>
    <xf numFmtId="0" fontId="14" fillId="0" borderId="2" xfId="0" applyFont="1" applyBorder="1"/>
    <xf numFmtId="0" fontId="14" fillId="0" borderId="0" xfId="0" applyFont="1" applyBorder="1"/>
    <xf numFmtId="0" fontId="2" fillId="0" borderId="0" xfId="0" applyFont="1" applyBorder="1" applyProtection="1">
      <protection locked="0"/>
    </xf>
    <xf numFmtId="0" fontId="1" fillId="0" borderId="3" xfId="0" applyFont="1" applyBorder="1" applyAlignment="1">
      <alignment horizontal="left"/>
    </xf>
    <xf numFmtId="0" fontId="14" fillId="0" borderId="4" xfId="0" applyFont="1" applyBorder="1"/>
    <xf numFmtId="0" fontId="14" fillId="0" borderId="0" xfId="0" applyFont="1" applyBorder="1" applyAlignment="1">
      <alignment horizontal="center"/>
    </xf>
    <xf numFmtId="0" fontId="2" fillId="0" borderId="5" xfId="0" applyFont="1" applyBorder="1"/>
    <xf numFmtId="0" fontId="14" fillId="0" borderId="0" xfId="0" applyFont="1" applyBorder="1" applyProtection="1">
      <protection locked="0"/>
    </xf>
    <xf numFmtId="0" fontId="14" fillId="0" borderId="5" xfId="0" applyFont="1" applyBorder="1"/>
    <xf numFmtId="0" fontId="14" fillId="0" borderId="3" xfId="0" applyFont="1" applyBorder="1"/>
    <xf numFmtId="0" fontId="14" fillId="0" borderId="6" xfId="0" applyFont="1" applyBorder="1"/>
    <xf numFmtId="0" fontId="14" fillId="0" borderId="7" xfId="0" applyFont="1" applyBorder="1"/>
    <xf numFmtId="0" fontId="14" fillId="2" borderId="8" xfId="0" applyFont="1" applyFill="1" applyBorder="1" applyAlignment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/>
    <xf numFmtId="0" fontId="14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3" fillId="0" borderId="13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/>
      <protection locked="0"/>
    </xf>
    <xf numFmtId="0" fontId="14" fillId="0" borderId="13" xfId="0" applyFont="1" applyFill="1" applyBorder="1"/>
    <xf numFmtId="0" fontId="2" fillId="3" borderId="5" xfId="0" applyFont="1" applyFill="1" applyBorder="1"/>
    <xf numFmtId="0" fontId="2" fillId="3" borderId="9" xfId="0" applyFont="1" applyFill="1" applyBorder="1"/>
    <xf numFmtId="0" fontId="2" fillId="3" borderId="14" xfId="0" applyFont="1" applyFill="1" applyBorder="1"/>
    <xf numFmtId="0" fontId="2" fillId="0" borderId="14" xfId="0" applyFont="1" applyBorder="1"/>
    <xf numFmtId="0" fontId="2" fillId="3" borderId="7" xfId="0" applyFont="1" applyFill="1" applyBorder="1"/>
    <xf numFmtId="0" fontId="17" fillId="0" borderId="0" xfId="0" applyFont="1"/>
    <xf numFmtId="0" fontId="4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0" xfId="0" applyFont="1"/>
    <xf numFmtId="0" fontId="5" fillId="3" borderId="14" xfId="0" applyFont="1" applyFill="1" applyBorder="1"/>
    <xf numFmtId="0" fontId="6" fillId="0" borderId="0" xfId="0" applyFont="1" applyBorder="1" applyAlignment="1">
      <alignment horizontal="center"/>
    </xf>
    <xf numFmtId="0" fontId="18" fillId="0" borderId="0" xfId="0" applyFont="1" applyBorder="1"/>
    <xf numFmtId="0" fontId="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1" fillId="0" borderId="0" xfId="0" applyFont="1"/>
    <xf numFmtId="0" fontId="2" fillId="0" borderId="2" xfId="0" applyFont="1" applyBorder="1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24" fillId="2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0" xfId="0" applyFill="1" applyBorder="1" applyAlignment="1" applyProtection="1">
      <protection locked="0"/>
    </xf>
    <xf numFmtId="0" fontId="2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2" borderId="0" xfId="0" applyFont="1" applyFill="1" applyBorder="1"/>
    <xf numFmtId="0" fontId="14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0" fontId="0" fillId="0" borderId="11" xfId="0" applyBorder="1" applyAlignment="1"/>
    <xf numFmtId="0" fontId="2" fillId="0" borderId="0" xfId="0" applyFont="1" applyBorder="1" applyAlignment="1" applyProtection="1">
      <alignment horizontal="center"/>
    </xf>
    <xf numFmtId="0" fontId="27" fillId="0" borderId="0" xfId="0" applyFont="1" applyBorder="1" applyAlignment="1">
      <alignment horizontal="left"/>
    </xf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/>
    </xf>
    <xf numFmtId="0" fontId="18" fillId="4" borderId="18" xfId="0" applyFont="1" applyFill="1" applyBorder="1" applyAlignment="1">
      <alignment horizontal="center"/>
    </xf>
    <xf numFmtId="0" fontId="28" fillId="0" borderId="12" xfId="0" applyFont="1" applyBorder="1" applyAlignment="1">
      <alignment vertical="center" wrapText="1"/>
    </xf>
    <xf numFmtId="0" fontId="18" fillId="0" borderId="11" xfId="0" quotePrefix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7" fillId="0" borderId="11" xfId="0" applyFont="1" applyBorder="1" applyAlignment="1">
      <alignment horizontal="center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/>
    <xf numFmtId="0" fontId="28" fillId="0" borderId="0" xfId="0" applyFont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32" fillId="0" borderId="0" xfId="0" applyFont="1"/>
    <xf numFmtId="0" fontId="0" fillId="0" borderId="11" xfId="0" applyBorder="1" applyAlignment="1">
      <alignment horizontal="center"/>
    </xf>
    <xf numFmtId="0" fontId="0" fillId="0" borderId="11" xfId="0" applyBorder="1"/>
    <xf numFmtId="0" fontId="3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6" fillId="2" borderId="23" xfId="0" applyFont="1" applyFill="1" applyBorder="1" applyAlignment="1"/>
    <xf numFmtId="0" fontId="16" fillId="2" borderId="18" xfId="0" applyFont="1" applyFill="1" applyBorder="1" applyAlignment="1"/>
    <xf numFmtId="0" fontId="16" fillId="2" borderId="13" xfId="0" applyFont="1" applyFill="1" applyBorder="1" applyAlignment="1"/>
    <xf numFmtId="0" fontId="16" fillId="2" borderId="23" xfId="0" applyFont="1" applyFill="1" applyBorder="1" applyAlignment="1">
      <alignment horizontal="right"/>
    </xf>
    <xf numFmtId="0" fontId="34" fillId="0" borderId="0" xfId="0" quotePrefix="1" applyFont="1"/>
    <xf numFmtId="0" fontId="35" fillId="0" borderId="0" xfId="0" applyFont="1" applyBorder="1" applyProtection="1">
      <protection locked="0"/>
    </xf>
    <xf numFmtId="0" fontId="35" fillId="0" borderId="0" xfId="0" applyFont="1" applyBorder="1"/>
    <xf numFmtId="2" fontId="18" fillId="0" borderId="0" xfId="0" applyNumberFormat="1" applyFont="1"/>
    <xf numFmtId="0" fontId="18" fillId="0" borderId="15" xfId="0" applyFont="1" applyBorder="1" applyAlignment="1">
      <alignment horizontal="left"/>
    </xf>
    <xf numFmtId="0" fontId="18" fillId="0" borderId="24" xfId="0" applyFont="1" applyBorder="1"/>
    <xf numFmtId="0" fontId="0" fillId="0" borderId="2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quotePrefix="1" applyBorder="1" applyAlignment="1">
      <alignment horizontal="center"/>
    </xf>
    <xf numFmtId="0" fontId="0" fillId="0" borderId="23" xfId="0" applyBorder="1" applyAlignment="1">
      <alignment horizontal="center"/>
    </xf>
    <xf numFmtId="0" fontId="33" fillId="0" borderId="0" xfId="0" applyFont="1" applyAlignment="1">
      <alignment horizontal="right"/>
    </xf>
    <xf numFmtId="0" fontId="36" fillId="2" borderId="0" xfId="0" applyFont="1" applyFill="1" applyBorder="1"/>
    <xf numFmtId="0" fontId="37" fillId="0" borderId="0" xfId="0" applyFo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4" borderId="0" xfId="0" applyFont="1" applyFill="1"/>
    <xf numFmtId="0" fontId="6" fillId="0" borderId="11" xfId="0" applyNumberFormat="1" applyFont="1" applyBorder="1"/>
    <xf numFmtId="0" fontId="18" fillId="2" borderId="0" xfId="0" applyFont="1" applyFill="1"/>
    <xf numFmtId="0" fontId="18" fillId="4" borderId="0" xfId="0" quotePrefix="1" applyFont="1" applyFill="1" applyAlignment="1">
      <alignment horizontal="right"/>
    </xf>
    <xf numFmtId="0" fontId="38" fillId="4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quotePrefix="1" applyBorder="1"/>
    <xf numFmtId="0" fontId="0" fillId="0" borderId="28" xfId="0" applyBorder="1"/>
    <xf numFmtId="0" fontId="0" fillId="0" borderId="25" xfId="0" quotePrefix="1" applyBorder="1"/>
    <xf numFmtId="0" fontId="0" fillId="0" borderId="25" xfId="0" applyBorder="1" applyAlignment="1">
      <alignment horizontal="left"/>
    </xf>
    <xf numFmtId="0" fontId="0" fillId="0" borderId="16" xfId="0" quotePrefix="1" applyBorder="1"/>
    <xf numFmtId="0" fontId="0" fillId="4" borderId="29" xfId="0" quotePrefix="1" applyFill="1" applyBorder="1"/>
    <xf numFmtId="0" fontId="0" fillId="4" borderId="28" xfId="0" applyFill="1" applyBorder="1" applyAlignment="1">
      <alignment horizontal="left"/>
    </xf>
    <xf numFmtId="0" fontId="0" fillId="4" borderId="30" xfId="0" quotePrefix="1" applyFill="1" applyBorder="1"/>
    <xf numFmtId="0" fontId="0" fillId="4" borderId="16" xfId="0" applyFill="1" applyBorder="1" applyAlignment="1">
      <alignment horizontal="left"/>
    </xf>
    <xf numFmtId="0" fontId="38" fillId="4" borderId="28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4" borderId="28" xfId="0" applyFill="1" applyBorder="1" applyAlignment="1">
      <alignment horizontal="center"/>
    </xf>
    <xf numFmtId="0" fontId="0" fillId="4" borderId="28" xfId="0" quotePrefix="1" applyFill="1" applyBorder="1"/>
    <xf numFmtId="0" fontId="0" fillId="4" borderId="16" xfId="0" quotePrefix="1" applyFill="1" applyBorder="1"/>
    <xf numFmtId="0" fontId="0" fillId="5" borderId="28" xfId="0" quotePrefix="1" applyFill="1" applyBorder="1"/>
    <xf numFmtId="0" fontId="0" fillId="5" borderId="28" xfId="0" applyFill="1" applyBorder="1" applyAlignment="1">
      <alignment horizontal="left"/>
    </xf>
    <xf numFmtId="0" fontId="0" fillId="5" borderId="16" xfId="0" quotePrefix="1" applyFill="1" applyBorder="1"/>
    <xf numFmtId="0" fontId="0" fillId="0" borderId="31" xfId="0" applyBorder="1"/>
    <xf numFmtId="0" fontId="0" fillId="0" borderId="16" xfId="0" applyBorder="1"/>
    <xf numFmtId="0" fontId="0" fillId="0" borderId="32" xfId="0" applyBorder="1"/>
    <xf numFmtId="0" fontId="0" fillId="0" borderId="33" xfId="0" applyBorder="1"/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8" fillId="0" borderId="0" xfId="0" applyNumberFormat="1" applyFont="1"/>
    <xf numFmtId="0" fontId="17" fillId="0" borderId="11" xfId="0" applyFont="1" applyBorder="1"/>
    <xf numFmtId="0" fontId="39" fillId="0" borderId="0" xfId="0" applyFont="1"/>
    <xf numFmtId="0" fontId="39" fillId="0" borderId="0" xfId="0" quotePrefix="1" applyFont="1"/>
    <xf numFmtId="0" fontId="40" fillId="0" borderId="0" xfId="0" applyFont="1"/>
    <xf numFmtId="0" fontId="41" fillId="0" borderId="0" xfId="0" applyFont="1"/>
    <xf numFmtId="0" fontId="0" fillId="0" borderId="0" xfId="0" applyBorder="1"/>
    <xf numFmtId="0" fontId="0" fillId="5" borderId="0" xfId="0" quotePrefix="1" applyFill="1" applyBorder="1"/>
    <xf numFmtId="0" fontId="0" fillId="5" borderId="0" xfId="0" applyFill="1" applyBorder="1" applyAlignment="1">
      <alignment horizontal="left"/>
    </xf>
    <xf numFmtId="0" fontId="42" fillId="0" borderId="0" xfId="0" applyFont="1" applyBorder="1" applyAlignment="1">
      <alignment horizontal="right"/>
    </xf>
    <xf numFmtId="0" fontId="43" fillId="0" borderId="0" xfId="0" applyFont="1"/>
    <xf numFmtId="0" fontId="38" fillId="0" borderId="11" xfId="0" applyFont="1" applyBorder="1" applyAlignment="1">
      <alignment horizontal="left"/>
    </xf>
    <xf numFmtId="0" fontId="38" fillId="0" borderId="11" xfId="0" applyFont="1" applyFill="1" applyBorder="1" applyAlignment="1">
      <alignment horizontal="left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14" fillId="0" borderId="2" xfId="0" applyFont="1" applyFill="1" applyBorder="1"/>
    <xf numFmtId="0" fontId="29" fillId="6" borderId="19" xfId="0" applyFont="1" applyFill="1" applyBorder="1" applyAlignment="1" applyProtection="1">
      <alignment horizontal="left"/>
      <protection locked="0"/>
    </xf>
    <xf numFmtId="0" fontId="29" fillId="6" borderId="20" xfId="0" applyFont="1" applyFill="1" applyBorder="1" applyAlignment="1" applyProtection="1">
      <alignment horizontal="left"/>
      <protection locked="0"/>
    </xf>
    <xf numFmtId="0" fontId="29" fillId="6" borderId="21" xfId="0" applyFont="1" applyFill="1" applyBorder="1" applyAlignment="1" applyProtection="1">
      <alignment horizontal="left"/>
      <protection locked="0"/>
    </xf>
    <xf numFmtId="0" fontId="29" fillId="6" borderId="18" xfId="0" applyFont="1" applyFill="1" applyBorder="1" applyAlignment="1" applyProtection="1">
      <alignment horizontal="left"/>
      <protection locked="0"/>
    </xf>
    <xf numFmtId="0" fontId="29" fillId="6" borderId="13" xfId="0" applyFont="1" applyFill="1" applyBorder="1" applyAlignment="1" applyProtection="1">
      <alignment horizontal="left"/>
      <protection locked="0"/>
    </xf>
    <xf numFmtId="0" fontId="29" fillId="6" borderId="22" xfId="0" applyFont="1" applyFill="1" applyBorder="1" applyAlignment="1" applyProtection="1">
      <alignment horizontal="left"/>
      <protection locked="0"/>
    </xf>
    <xf numFmtId="49" fontId="29" fillId="6" borderId="18" xfId="0" applyNumberFormat="1" applyFont="1" applyFill="1" applyBorder="1" applyAlignment="1" applyProtection="1">
      <alignment horizontal="left"/>
      <protection locked="0"/>
    </xf>
    <xf numFmtId="49" fontId="29" fillId="6" borderId="13" xfId="0" applyNumberFormat="1" applyFont="1" applyFill="1" applyBorder="1" applyAlignment="1" applyProtection="1">
      <alignment horizontal="left"/>
      <protection locked="0"/>
    </xf>
    <xf numFmtId="49" fontId="29" fillId="6" borderId="22" xfId="0" applyNumberFormat="1" applyFont="1" applyFill="1" applyBorder="1" applyAlignment="1" applyProtection="1">
      <alignment horizontal="left"/>
      <protection locked="0"/>
    </xf>
    <xf numFmtId="0" fontId="15" fillId="7" borderId="29" xfId="0" applyFont="1" applyFill="1" applyBorder="1" applyAlignment="1">
      <alignment horizontal="center"/>
    </xf>
    <xf numFmtId="0" fontId="0" fillId="7" borderId="37" xfId="0" applyFill="1" applyBorder="1"/>
    <xf numFmtId="0" fontId="0" fillId="7" borderId="40" xfId="0" applyFill="1" applyBorder="1"/>
    <xf numFmtId="0" fontId="0" fillId="7" borderId="24" xfId="0" applyFill="1" applyBorder="1"/>
    <xf numFmtId="0" fontId="29" fillId="6" borderId="12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29" fillId="6" borderId="11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11" fillId="6" borderId="18" xfId="1" applyFill="1" applyBorder="1" applyAlignment="1" applyProtection="1">
      <alignment horizontal="left"/>
      <protection locked="0"/>
    </xf>
    <xf numFmtId="0" fontId="14" fillId="0" borderId="15" xfId="0" applyFont="1" applyBorder="1" applyAlignment="1">
      <alignment horizontal="center" wrapText="1"/>
    </xf>
    <xf numFmtId="0" fontId="0" fillId="0" borderId="40" xfId="0" applyBorder="1"/>
    <xf numFmtId="0" fontId="0" fillId="0" borderId="24" xfId="0" applyBorder="1"/>
    <xf numFmtId="0" fontId="14" fillId="4" borderId="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/>
    </xf>
    <xf numFmtId="0" fontId="44" fillId="2" borderId="14" xfId="0" applyFont="1" applyFill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" xfId="0" applyBorder="1" applyProtection="1">
      <protection locked="0"/>
    </xf>
    <xf numFmtId="0" fontId="45" fillId="8" borderId="15" xfId="0" applyFont="1" applyFill="1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24" xfId="0" applyBorder="1" applyProtection="1">
      <protection locked="0"/>
    </xf>
    <xf numFmtId="0" fontId="46" fillId="0" borderId="2" xfId="0" applyFont="1" applyBorder="1" applyAlignment="1">
      <alignment horizontal="left"/>
    </xf>
    <xf numFmtId="0" fontId="47" fillId="0" borderId="2" xfId="0" applyFont="1" applyBorder="1" applyAlignment="1">
      <alignment horizontal="left"/>
    </xf>
    <xf numFmtId="0" fontId="26" fillId="0" borderId="0" xfId="0" applyFont="1" applyBorder="1" applyAlignment="1" applyProtection="1">
      <protection locked="0"/>
    </xf>
    <xf numFmtId="0" fontId="48" fillId="0" borderId="0" xfId="0" applyFont="1" applyAlignment="1"/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Protection="1">
      <protection locked="0"/>
    </xf>
    <xf numFmtId="0" fontId="29" fillId="6" borderId="18" xfId="0" applyFont="1" applyFill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29" fillId="6" borderId="39" xfId="0" applyFont="1" applyFill="1" applyBorder="1" applyAlignment="1" applyProtection="1">
      <alignment horizontal="center"/>
      <protection locked="0"/>
    </xf>
    <xf numFmtId="0" fontId="0" fillId="0" borderId="39" xfId="0" applyBorder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4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24" fillId="6" borderId="18" xfId="0" applyFont="1" applyFill="1" applyBorder="1" applyAlignment="1" applyProtection="1">
      <alignment horizontal="center"/>
      <protection locked="0"/>
    </xf>
    <xf numFmtId="0" fontId="0" fillId="0" borderId="13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24" fillId="8" borderId="36" xfId="0" applyFont="1" applyFill="1" applyBorder="1" applyAlignment="1" applyProtection="1">
      <alignment horizontal="center"/>
      <protection locked="0"/>
    </xf>
    <xf numFmtId="0" fontId="0" fillId="0" borderId="41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24" fillId="8" borderId="35" xfId="0" applyFont="1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14" fillId="0" borderId="0" xfId="0" applyFont="1" applyAlignment="1"/>
    <xf numFmtId="0" fontId="0" fillId="0" borderId="0" xfId="0" applyAlignment="1"/>
    <xf numFmtId="0" fontId="14" fillId="0" borderId="0" xfId="0" applyFont="1" applyAlignment="1" applyProtection="1">
      <protection locked="0"/>
    </xf>
    <xf numFmtId="0" fontId="18" fillId="0" borderId="11" xfId="0" applyFont="1" applyBorder="1" applyAlignment="1">
      <alignment horizontal="left"/>
    </xf>
    <xf numFmtId="0" fontId="0" fillId="0" borderId="11" xfId="0" applyBorder="1" applyAlignment="1"/>
    <xf numFmtId="0" fontId="30" fillId="0" borderId="43" xfId="0" applyFont="1" applyBorder="1" applyAlignment="1">
      <alignment vertical="center" wrapText="1"/>
    </xf>
    <xf numFmtId="0" fontId="31" fillId="0" borderId="2" xfId="0" applyFont="1" applyBorder="1" applyAlignment="1"/>
    <xf numFmtId="0" fontId="0" fillId="0" borderId="11" xfId="0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/>
    </xf>
    <xf numFmtId="0" fontId="33" fillId="0" borderId="23" xfId="0" applyFont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11">
    <dxf>
      <font>
        <b/>
        <i val="0"/>
        <color rgb="FFFF0000"/>
      </font>
    </dxf>
    <dxf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rgb="FFFF0000"/>
      </font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92D05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4" tint="0.5999633777886288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380442</xdr:colOff>
      <xdr:row>90</xdr:row>
      <xdr:rowOff>61331</xdr:rowOff>
    </xdr:from>
    <xdr:to>
      <xdr:col>2</xdr:col>
      <xdr:colOff>494742</xdr:colOff>
      <xdr:row>90</xdr:row>
      <xdr:rowOff>175631</xdr:rowOff>
    </xdr:to>
    <xdr:sp macro="" textlink="">
      <xdr:nvSpPr>
        <xdr:cNvPr id="47" name="Овал 46"/>
        <xdr:cNvSpPr/>
      </xdr:nvSpPr>
      <xdr:spPr>
        <a:xfrm>
          <a:off x="5562042" y="13110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380442</xdr:colOff>
      <xdr:row>90</xdr:row>
      <xdr:rowOff>61331</xdr:rowOff>
    </xdr:from>
    <xdr:to>
      <xdr:col>3</xdr:col>
      <xdr:colOff>494742</xdr:colOff>
      <xdr:row>90</xdr:row>
      <xdr:rowOff>175631</xdr:rowOff>
    </xdr:to>
    <xdr:sp macro="" textlink="">
      <xdr:nvSpPr>
        <xdr:cNvPr id="48" name="Овал 47"/>
        <xdr:cNvSpPr/>
      </xdr:nvSpPr>
      <xdr:spPr>
        <a:xfrm>
          <a:off x="6453582" y="13110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380442</xdr:colOff>
      <xdr:row>90</xdr:row>
      <xdr:rowOff>61331</xdr:rowOff>
    </xdr:from>
    <xdr:to>
      <xdr:col>4</xdr:col>
      <xdr:colOff>494742</xdr:colOff>
      <xdr:row>90</xdr:row>
      <xdr:rowOff>175631</xdr:rowOff>
    </xdr:to>
    <xdr:sp macro="" textlink="">
      <xdr:nvSpPr>
        <xdr:cNvPr id="49" name="Овал 48"/>
        <xdr:cNvSpPr/>
      </xdr:nvSpPr>
      <xdr:spPr>
        <a:xfrm>
          <a:off x="7345122" y="13110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380442</xdr:colOff>
      <xdr:row>90</xdr:row>
      <xdr:rowOff>61331</xdr:rowOff>
    </xdr:from>
    <xdr:to>
      <xdr:col>7</xdr:col>
      <xdr:colOff>494742</xdr:colOff>
      <xdr:row>90</xdr:row>
      <xdr:rowOff>175631</xdr:rowOff>
    </xdr:to>
    <xdr:sp macro="" textlink="">
      <xdr:nvSpPr>
        <xdr:cNvPr id="50" name="Овал 49"/>
        <xdr:cNvSpPr/>
      </xdr:nvSpPr>
      <xdr:spPr>
        <a:xfrm>
          <a:off x="10187382" y="13110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380442</xdr:colOff>
      <xdr:row>91</xdr:row>
      <xdr:rowOff>61331</xdr:rowOff>
    </xdr:from>
    <xdr:to>
      <xdr:col>2</xdr:col>
      <xdr:colOff>494742</xdr:colOff>
      <xdr:row>91</xdr:row>
      <xdr:rowOff>175631</xdr:rowOff>
    </xdr:to>
    <xdr:sp macro="" textlink="">
      <xdr:nvSpPr>
        <xdr:cNvPr id="51" name="Овал 50"/>
        <xdr:cNvSpPr/>
      </xdr:nvSpPr>
      <xdr:spPr>
        <a:xfrm>
          <a:off x="5562042" y="15396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380442</xdr:colOff>
      <xdr:row>91</xdr:row>
      <xdr:rowOff>61331</xdr:rowOff>
    </xdr:from>
    <xdr:to>
      <xdr:col>3</xdr:col>
      <xdr:colOff>494742</xdr:colOff>
      <xdr:row>91</xdr:row>
      <xdr:rowOff>175631</xdr:rowOff>
    </xdr:to>
    <xdr:sp macro="" textlink="">
      <xdr:nvSpPr>
        <xdr:cNvPr id="52" name="Овал 51"/>
        <xdr:cNvSpPr/>
      </xdr:nvSpPr>
      <xdr:spPr>
        <a:xfrm>
          <a:off x="6453582" y="15396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380442</xdr:colOff>
      <xdr:row>91</xdr:row>
      <xdr:rowOff>61331</xdr:rowOff>
    </xdr:from>
    <xdr:to>
      <xdr:col>5</xdr:col>
      <xdr:colOff>494742</xdr:colOff>
      <xdr:row>91</xdr:row>
      <xdr:rowOff>175631</xdr:rowOff>
    </xdr:to>
    <xdr:sp macro="" textlink="">
      <xdr:nvSpPr>
        <xdr:cNvPr id="53" name="Овал 52"/>
        <xdr:cNvSpPr/>
      </xdr:nvSpPr>
      <xdr:spPr>
        <a:xfrm>
          <a:off x="8236662" y="15396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380442</xdr:colOff>
      <xdr:row>91</xdr:row>
      <xdr:rowOff>61331</xdr:rowOff>
    </xdr:from>
    <xdr:to>
      <xdr:col>7</xdr:col>
      <xdr:colOff>494742</xdr:colOff>
      <xdr:row>91</xdr:row>
      <xdr:rowOff>175631</xdr:rowOff>
    </xdr:to>
    <xdr:sp macro="" textlink="">
      <xdr:nvSpPr>
        <xdr:cNvPr id="54" name="Овал 53"/>
        <xdr:cNvSpPr/>
      </xdr:nvSpPr>
      <xdr:spPr>
        <a:xfrm>
          <a:off x="10187382" y="15396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380442</xdr:colOff>
      <xdr:row>92</xdr:row>
      <xdr:rowOff>61331</xdr:rowOff>
    </xdr:from>
    <xdr:to>
      <xdr:col>2</xdr:col>
      <xdr:colOff>494742</xdr:colOff>
      <xdr:row>92</xdr:row>
      <xdr:rowOff>175631</xdr:rowOff>
    </xdr:to>
    <xdr:sp macro="" textlink="">
      <xdr:nvSpPr>
        <xdr:cNvPr id="55" name="Овал 54"/>
        <xdr:cNvSpPr/>
      </xdr:nvSpPr>
      <xdr:spPr>
        <a:xfrm>
          <a:off x="5562042" y="17682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380442</xdr:colOff>
      <xdr:row>92</xdr:row>
      <xdr:rowOff>61331</xdr:rowOff>
    </xdr:from>
    <xdr:to>
      <xdr:col>3</xdr:col>
      <xdr:colOff>494742</xdr:colOff>
      <xdr:row>92</xdr:row>
      <xdr:rowOff>175631</xdr:rowOff>
    </xdr:to>
    <xdr:sp macro="" textlink="">
      <xdr:nvSpPr>
        <xdr:cNvPr id="56" name="Овал 55"/>
        <xdr:cNvSpPr/>
      </xdr:nvSpPr>
      <xdr:spPr>
        <a:xfrm>
          <a:off x="6453582" y="17682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6</xdr:col>
      <xdr:colOff>380442</xdr:colOff>
      <xdr:row>92</xdr:row>
      <xdr:rowOff>61331</xdr:rowOff>
    </xdr:from>
    <xdr:to>
      <xdr:col>6</xdr:col>
      <xdr:colOff>494742</xdr:colOff>
      <xdr:row>92</xdr:row>
      <xdr:rowOff>175631</xdr:rowOff>
    </xdr:to>
    <xdr:sp macro="" textlink="">
      <xdr:nvSpPr>
        <xdr:cNvPr id="57" name="Овал 56"/>
        <xdr:cNvSpPr/>
      </xdr:nvSpPr>
      <xdr:spPr>
        <a:xfrm>
          <a:off x="9128202" y="17682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380442</xdr:colOff>
      <xdr:row>92</xdr:row>
      <xdr:rowOff>61331</xdr:rowOff>
    </xdr:from>
    <xdr:to>
      <xdr:col>7</xdr:col>
      <xdr:colOff>494742</xdr:colOff>
      <xdr:row>92</xdr:row>
      <xdr:rowOff>175631</xdr:rowOff>
    </xdr:to>
    <xdr:sp macro="" textlink="">
      <xdr:nvSpPr>
        <xdr:cNvPr id="58" name="Овал 57"/>
        <xdr:cNvSpPr/>
      </xdr:nvSpPr>
      <xdr:spPr>
        <a:xfrm>
          <a:off x="10187382" y="17682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380442</xdr:colOff>
      <xdr:row>93</xdr:row>
      <xdr:rowOff>61331</xdr:rowOff>
    </xdr:from>
    <xdr:to>
      <xdr:col>2</xdr:col>
      <xdr:colOff>494742</xdr:colOff>
      <xdr:row>93</xdr:row>
      <xdr:rowOff>175631</xdr:rowOff>
    </xdr:to>
    <xdr:sp macro="" textlink="">
      <xdr:nvSpPr>
        <xdr:cNvPr id="59" name="Овал 58"/>
        <xdr:cNvSpPr/>
      </xdr:nvSpPr>
      <xdr:spPr>
        <a:xfrm>
          <a:off x="5562042" y="19968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3</xdr:col>
      <xdr:colOff>380442</xdr:colOff>
      <xdr:row>93</xdr:row>
      <xdr:rowOff>61331</xdr:rowOff>
    </xdr:from>
    <xdr:to>
      <xdr:col>3</xdr:col>
      <xdr:colOff>494742</xdr:colOff>
      <xdr:row>93</xdr:row>
      <xdr:rowOff>175631</xdr:rowOff>
    </xdr:to>
    <xdr:sp macro="" textlink="">
      <xdr:nvSpPr>
        <xdr:cNvPr id="60" name="Овал 59"/>
        <xdr:cNvSpPr/>
      </xdr:nvSpPr>
      <xdr:spPr>
        <a:xfrm>
          <a:off x="6453582" y="19968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380442</xdr:colOff>
      <xdr:row>94</xdr:row>
      <xdr:rowOff>61331</xdr:rowOff>
    </xdr:from>
    <xdr:to>
      <xdr:col>2</xdr:col>
      <xdr:colOff>494742</xdr:colOff>
      <xdr:row>94</xdr:row>
      <xdr:rowOff>175631</xdr:rowOff>
    </xdr:to>
    <xdr:sp macro="" textlink="">
      <xdr:nvSpPr>
        <xdr:cNvPr id="61" name="Овал 60"/>
        <xdr:cNvSpPr/>
      </xdr:nvSpPr>
      <xdr:spPr>
        <a:xfrm>
          <a:off x="5562042" y="22254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380442</xdr:colOff>
      <xdr:row>95</xdr:row>
      <xdr:rowOff>38471</xdr:rowOff>
    </xdr:from>
    <xdr:to>
      <xdr:col>2</xdr:col>
      <xdr:colOff>494742</xdr:colOff>
      <xdr:row>95</xdr:row>
      <xdr:rowOff>152771</xdr:rowOff>
    </xdr:to>
    <xdr:sp macro="" textlink="">
      <xdr:nvSpPr>
        <xdr:cNvPr id="17" name="Овал 16"/>
        <xdr:cNvSpPr/>
      </xdr:nvSpPr>
      <xdr:spPr>
        <a:xfrm>
          <a:off x="4822902" y="1873033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365202</xdr:colOff>
      <xdr:row>96</xdr:row>
      <xdr:rowOff>46091</xdr:rowOff>
    </xdr:from>
    <xdr:to>
      <xdr:col>2</xdr:col>
      <xdr:colOff>479502</xdr:colOff>
      <xdr:row>96</xdr:row>
      <xdr:rowOff>160391</xdr:rowOff>
    </xdr:to>
    <xdr:sp macro="" textlink="">
      <xdr:nvSpPr>
        <xdr:cNvPr id="18" name="Овал 17"/>
        <xdr:cNvSpPr/>
      </xdr:nvSpPr>
      <xdr:spPr>
        <a:xfrm>
          <a:off x="4807662" y="1892083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365202</xdr:colOff>
      <xdr:row>97</xdr:row>
      <xdr:rowOff>38471</xdr:rowOff>
    </xdr:from>
    <xdr:to>
      <xdr:col>2</xdr:col>
      <xdr:colOff>479502</xdr:colOff>
      <xdr:row>97</xdr:row>
      <xdr:rowOff>152771</xdr:rowOff>
    </xdr:to>
    <xdr:sp macro="" textlink="">
      <xdr:nvSpPr>
        <xdr:cNvPr id="19" name="Овал 18"/>
        <xdr:cNvSpPr/>
      </xdr:nvSpPr>
      <xdr:spPr>
        <a:xfrm>
          <a:off x="4807662" y="1911133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4</xdr:col>
      <xdr:colOff>349962</xdr:colOff>
      <xdr:row>95</xdr:row>
      <xdr:rowOff>38471</xdr:rowOff>
    </xdr:from>
    <xdr:to>
      <xdr:col>4</xdr:col>
      <xdr:colOff>464262</xdr:colOff>
      <xdr:row>95</xdr:row>
      <xdr:rowOff>152771</xdr:rowOff>
    </xdr:to>
    <xdr:sp macro="" textlink="">
      <xdr:nvSpPr>
        <xdr:cNvPr id="20" name="Овал 19"/>
        <xdr:cNvSpPr/>
      </xdr:nvSpPr>
      <xdr:spPr>
        <a:xfrm>
          <a:off x="6103062" y="1873033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334722</xdr:colOff>
      <xdr:row>96</xdr:row>
      <xdr:rowOff>38471</xdr:rowOff>
    </xdr:from>
    <xdr:to>
      <xdr:col>5</xdr:col>
      <xdr:colOff>449022</xdr:colOff>
      <xdr:row>96</xdr:row>
      <xdr:rowOff>152771</xdr:rowOff>
    </xdr:to>
    <xdr:sp macro="" textlink="">
      <xdr:nvSpPr>
        <xdr:cNvPr id="21" name="Овал 20"/>
        <xdr:cNvSpPr/>
      </xdr:nvSpPr>
      <xdr:spPr>
        <a:xfrm>
          <a:off x="6743142" y="189132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6</xdr:col>
      <xdr:colOff>380442</xdr:colOff>
      <xdr:row>97</xdr:row>
      <xdr:rowOff>46091</xdr:rowOff>
    </xdr:from>
    <xdr:to>
      <xdr:col>6</xdr:col>
      <xdr:colOff>494742</xdr:colOff>
      <xdr:row>97</xdr:row>
      <xdr:rowOff>160391</xdr:rowOff>
    </xdr:to>
    <xdr:sp macro="" textlink="">
      <xdr:nvSpPr>
        <xdr:cNvPr id="22" name="Овал 21"/>
        <xdr:cNvSpPr/>
      </xdr:nvSpPr>
      <xdr:spPr>
        <a:xfrm>
          <a:off x="7444182" y="1911895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258522</xdr:colOff>
      <xdr:row>97</xdr:row>
      <xdr:rowOff>46091</xdr:rowOff>
    </xdr:from>
    <xdr:to>
      <xdr:col>7</xdr:col>
      <xdr:colOff>372822</xdr:colOff>
      <xdr:row>97</xdr:row>
      <xdr:rowOff>160391</xdr:rowOff>
    </xdr:to>
    <xdr:sp macro="" textlink="">
      <xdr:nvSpPr>
        <xdr:cNvPr id="23" name="Овал 22"/>
        <xdr:cNvSpPr/>
      </xdr:nvSpPr>
      <xdr:spPr>
        <a:xfrm>
          <a:off x="7977582" y="1911895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266142</xdr:colOff>
      <xdr:row>96</xdr:row>
      <xdr:rowOff>53711</xdr:rowOff>
    </xdr:from>
    <xdr:to>
      <xdr:col>7</xdr:col>
      <xdr:colOff>380442</xdr:colOff>
      <xdr:row>96</xdr:row>
      <xdr:rowOff>168011</xdr:rowOff>
    </xdr:to>
    <xdr:sp macro="" textlink="">
      <xdr:nvSpPr>
        <xdr:cNvPr id="24" name="Овал 23"/>
        <xdr:cNvSpPr/>
      </xdr:nvSpPr>
      <xdr:spPr>
        <a:xfrm>
          <a:off x="7985202" y="1892845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273762</xdr:colOff>
      <xdr:row>95</xdr:row>
      <xdr:rowOff>30851</xdr:rowOff>
    </xdr:from>
    <xdr:to>
      <xdr:col>7</xdr:col>
      <xdr:colOff>388062</xdr:colOff>
      <xdr:row>95</xdr:row>
      <xdr:rowOff>145151</xdr:rowOff>
    </xdr:to>
    <xdr:sp macro="" textlink="">
      <xdr:nvSpPr>
        <xdr:cNvPr id="25" name="Овал 24"/>
        <xdr:cNvSpPr/>
      </xdr:nvSpPr>
      <xdr:spPr>
        <a:xfrm>
          <a:off x="7992822" y="18722711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5</xdr:col>
      <xdr:colOff>268013</xdr:colOff>
      <xdr:row>108</xdr:row>
      <xdr:rowOff>47297</xdr:rowOff>
    </xdr:from>
    <xdr:to>
      <xdr:col>5</xdr:col>
      <xdr:colOff>515006</xdr:colOff>
      <xdr:row>113</xdr:row>
      <xdr:rowOff>141890</xdr:rowOff>
    </xdr:to>
    <xdr:sp macro="" textlink="">
      <xdr:nvSpPr>
        <xdr:cNvPr id="2" name="Правая фигурная скобка 1"/>
        <xdr:cNvSpPr/>
      </xdr:nvSpPr>
      <xdr:spPr>
        <a:xfrm>
          <a:off x="6684579" y="21378042"/>
          <a:ext cx="246993" cy="1014248"/>
        </a:xfrm>
        <a:prstGeom prst="rightBrace">
          <a:avLst>
            <a:gd name="adj1" fmla="val 8333"/>
            <a:gd name="adj2" fmla="val 468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7</xdr:col>
      <xdr:colOff>296359</xdr:colOff>
      <xdr:row>93</xdr:row>
      <xdr:rowOff>45566</xdr:rowOff>
    </xdr:from>
    <xdr:to>
      <xdr:col>7</xdr:col>
      <xdr:colOff>410659</xdr:colOff>
      <xdr:row>93</xdr:row>
      <xdr:rowOff>159866</xdr:rowOff>
    </xdr:to>
    <xdr:sp macro="" textlink="">
      <xdr:nvSpPr>
        <xdr:cNvPr id="27" name="Овал 26"/>
        <xdr:cNvSpPr/>
      </xdr:nvSpPr>
      <xdr:spPr>
        <a:xfrm>
          <a:off x="8026718" y="18470200"/>
          <a:ext cx="114300" cy="1143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1;%20&#1050;&#1058;&#1055;&#1050;%20%20&#1089;%20&#1088;&#1072;&#1089;&#1095;&#1077;&#1090;&#1086;&#1084;%20&#1080;%20&#1050;&#1055;%20(8-09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"/>
      <sheetName val="Комплектация"/>
      <sheetName val="Списки"/>
      <sheetName val="по отсекам"/>
      <sheetName val="автоматы и токи"/>
      <sheetName val="Форма КП"/>
      <sheetName val="Показатели"/>
      <sheetName val="КП"/>
    </sheetNames>
    <sheetDataSet>
      <sheetData sheetId="0"/>
      <sheetData sheetId="1" refreshError="1"/>
      <sheetData sheetId="2">
        <row r="6">
          <cell r="C6" t="str">
            <v>Тупиковая</v>
          </cell>
          <cell r="D6" t="str">
            <v>Проходная</v>
          </cell>
        </row>
        <row r="7">
          <cell r="C7">
            <v>1</v>
          </cell>
          <cell r="D7">
            <v>2</v>
          </cell>
        </row>
        <row r="8">
          <cell r="C8">
            <v>25</v>
          </cell>
          <cell r="D8">
            <v>40</v>
          </cell>
          <cell r="E8">
            <v>63</v>
          </cell>
          <cell r="F8">
            <v>100</v>
          </cell>
          <cell r="G8">
            <v>160</v>
          </cell>
          <cell r="H8">
            <v>250</v>
          </cell>
          <cell r="I8">
            <v>400</v>
          </cell>
          <cell r="J8">
            <v>630</v>
          </cell>
          <cell r="K8">
            <v>1000</v>
          </cell>
        </row>
        <row r="9">
          <cell r="C9" t="str">
            <v>Да</v>
          </cell>
          <cell r="D9" t="str">
            <v>НЕТ</v>
          </cell>
        </row>
        <row r="10">
          <cell r="C10" t="str">
            <v>ТМГ</v>
          </cell>
          <cell r="D10" t="str">
            <v>ТМГ(пониж)</v>
          </cell>
          <cell r="E10" t="str">
            <v>ТЛС(медь)</v>
          </cell>
          <cell r="F10" t="str">
            <v>ТЛС(алюм)</v>
          </cell>
          <cell r="G10" t="str">
            <v>НЕТ</v>
          </cell>
        </row>
        <row r="11">
          <cell r="C11" t="str">
            <v>Д/Ун-11</v>
          </cell>
          <cell r="D11" t="str">
            <v>У/Ун-0</v>
          </cell>
          <cell r="F11" t="str">
            <v>У/Zн</v>
          </cell>
        </row>
        <row r="12">
          <cell r="C12">
            <v>6</v>
          </cell>
          <cell r="D12">
            <v>10</v>
          </cell>
        </row>
        <row r="13">
          <cell r="C13" t="str">
            <v>Воздух</v>
          </cell>
          <cell r="D13" t="str">
            <v>Кабель</v>
          </cell>
        </row>
        <row r="15">
          <cell r="C15" t="str">
            <v>У1</v>
          </cell>
          <cell r="D15" t="str">
            <v>УХЛ1</v>
          </cell>
        </row>
        <row r="17">
          <cell r="C17" t="str">
            <v>Да</v>
          </cell>
          <cell r="D17" t="str">
            <v>Нет</v>
          </cell>
        </row>
        <row r="18">
          <cell r="C18" t="str">
            <v>НЕТ</v>
          </cell>
          <cell r="D18" t="str">
            <v>ВНАп</v>
          </cell>
          <cell r="E18" t="str">
            <v>РВЗ</v>
          </cell>
          <cell r="F18" t="str">
            <v>РЛНД</v>
          </cell>
          <cell r="G18" t="str">
            <v>РЛК</v>
          </cell>
        </row>
        <row r="28">
          <cell r="C28" t="str">
            <v>РЕ 19-35</v>
          </cell>
          <cell r="D28" t="str">
            <v>РЕ 19-37</v>
          </cell>
          <cell r="E28" t="str">
            <v>РЕ 19-39</v>
          </cell>
          <cell r="F28" t="str">
            <v>РЕ 19-41</v>
          </cell>
          <cell r="G28" t="str">
            <v>РЕ 19-43</v>
          </cell>
          <cell r="H28" t="str">
            <v>НЕТ</v>
          </cell>
        </row>
        <row r="32">
          <cell r="C32" t="str">
            <v>0,5s</v>
          </cell>
          <cell r="D32">
            <v>0.5</v>
          </cell>
          <cell r="E32">
            <v>1</v>
          </cell>
          <cell r="F32" t="str">
            <v>НЕТ</v>
          </cell>
          <cell r="G32" t="str">
            <v>40/5</v>
          </cell>
          <cell r="H32" t="str">
            <v>50/5</v>
          </cell>
          <cell r="I32" t="str">
            <v>75/5</v>
          </cell>
          <cell r="J32" t="str">
            <v>80/5</v>
          </cell>
          <cell r="K32" t="str">
            <v>100/5</v>
          </cell>
          <cell r="L32" t="str">
            <v>150/5</v>
          </cell>
          <cell r="M32" t="str">
            <v>200/5</v>
          </cell>
          <cell r="N32" t="str">
            <v>250/5</v>
          </cell>
          <cell r="O32" t="str">
            <v>300/5</v>
          </cell>
          <cell r="P32" t="str">
            <v>400/5</v>
          </cell>
          <cell r="Q32" t="str">
            <v>500/5</v>
          </cell>
          <cell r="R32" t="str">
            <v>600/5</v>
          </cell>
          <cell r="S32" t="str">
            <v>750/5</v>
          </cell>
          <cell r="T32" t="str">
            <v>800/5</v>
          </cell>
          <cell r="U32" t="str">
            <v>1000/5</v>
          </cell>
          <cell r="V32" t="str">
            <v>1200/5</v>
          </cell>
          <cell r="W32" t="str">
            <v>1500/5</v>
          </cell>
        </row>
        <row r="33">
          <cell r="C33" t="str">
            <v>Да</v>
          </cell>
          <cell r="D33" t="str">
            <v>НЕТ</v>
          </cell>
        </row>
        <row r="34">
          <cell r="C34" t="str">
            <v>Да</v>
          </cell>
          <cell r="D34" t="str">
            <v>НЕТ</v>
          </cell>
        </row>
        <row r="35">
          <cell r="C35" t="str">
            <v>ОПНп-0,22/300/0,3 УХЛ1</v>
          </cell>
          <cell r="D35" t="str">
            <v>ОПНп-0,22/450/0,3 УХЛ1</v>
          </cell>
          <cell r="E35" t="str">
            <v>ОПНп-0,38/300/0,4 УХЛ1</v>
          </cell>
          <cell r="F35" t="str">
            <v>ОПНп-0,38/450/0,4 УХЛ1</v>
          </cell>
          <cell r="G35" t="str">
            <v>НЕТ</v>
          </cell>
        </row>
        <row r="39">
          <cell r="C39">
            <v>25</v>
          </cell>
          <cell r="D39">
            <v>40</v>
          </cell>
          <cell r="E39">
            <v>63</v>
          </cell>
          <cell r="F39">
            <v>100</v>
          </cell>
          <cell r="G39">
            <v>160</v>
          </cell>
          <cell r="H39">
            <v>250</v>
          </cell>
          <cell r="I39">
            <v>400</v>
          </cell>
          <cell r="J39">
            <v>630</v>
          </cell>
          <cell r="K39">
            <v>1000</v>
          </cell>
          <cell r="L39">
            <v>1600</v>
          </cell>
        </row>
        <row r="40">
          <cell r="C40" t="str">
            <v>РЕ 19-35</v>
          </cell>
          <cell r="D40" t="str">
            <v>РЕ 19-37</v>
          </cell>
          <cell r="E40" t="str">
            <v>РЕ 19-39</v>
          </cell>
          <cell r="F40" t="str">
            <v>РЕ 19-41</v>
          </cell>
          <cell r="G40" t="str">
            <v>РЕ 19-43</v>
          </cell>
          <cell r="H40" t="str">
            <v>НЕТ</v>
          </cell>
        </row>
        <row r="46">
          <cell r="C46">
            <v>1</v>
          </cell>
          <cell r="D46">
            <v>2</v>
          </cell>
          <cell r="E46">
            <v>3</v>
          </cell>
          <cell r="F46">
            <v>4</v>
          </cell>
          <cell r="G46">
            <v>5</v>
          </cell>
          <cell r="H46">
            <v>6</v>
          </cell>
          <cell r="I46">
            <v>7</v>
          </cell>
          <cell r="J46">
            <v>8</v>
          </cell>
          <cell r="K46">
            <v>9</v>
          </cell>
          <cell r="L46">
            <v>10</v>
          </cell>
          <cell r="M46">
            <v>11</v>
          </cell>
          <cell r="N46">
            <v>12</v>
          </cell>
          <cell r="O46">
            <v>13</v>
          </cell>
          <cell r="P46">
            <v>14</v>
          </cell>
          <cell r="Q46">
            <v>15</v>
          </cell>
          <cell r="R46">
            <v>16</v>
          </cell>
          <cell r="S46">
            <v>17</v>
          </cell>
          <cell r="T46">
            <v>18</v>
          </cell>
          <cell r="U46">
            <v>19</v>
          </cell>
          <cell r="V46">
            <v>20</v>
          </cell>
          <cell r="W46">
            <v>21</v>
          </cell>
          <cell r="X46">
            <v>22</v>
          </cell>
        </row>
        <row r="52">
          <cell r="C52" t="str">
            <v>Активный</v>
          </cell>
          <cell r="D52" t="str">
            <v>Реактивный</v>
          </cell>
          <cell r="E52" t="str">
            <v>Активно-реактивный</v>
          </cell>
          <cell r="F52" t="str">
            <v>НЕТ</v>
          </cell>
        </row>
        <row r="54">
          <cell r="D54" t="str">
            <v>GSM C-1.02</v>
          </cell>
          <cell r="G54" t="str">
            <v>Встроен в счетчик</v>
          </cell>
          <cell r="H54" t="str">
            <v>Нет</v>
          </cell>
        </row>
        <row r="55">
          <cell r="E55" t="str">
            <v>ЭНКМ-3-А2В1Е1GT-422</v>
          </cell>
          <cell r="F55" t="str">
            <v>ЭНКМ-3-А2В1Е1GT-430</v>
          </cell>
          <cell r="G55" t="str">
            <v>Коммуникатор GSM С-1.02</v>
          </cell>
          <cell r="H55" t="str">
            <v>Коммуникатор ЭНКМ-3-220-А2Т-401</v>
          </cell>
          <cell r="I55" t="str">
            <v>Коммуникатор GSM RTR8A.LG1-1</v>
          </cell>
          <cell r="J55" t="str">
            <v>GSM-модем TELEOFIS RX108-R4 (RS485)</v>
          </cell>
          <cell r="K55" t="str">
            <v>Коммуникатор Меркурий 250 12GRL</v>
          </cell>
          <cell r="L55" t="str">
            <v>Коммуникационный модуль ЭНКМ-3-220-АТ</v>
          </cell>
          <cell r="R55" t="str">
            <v>Другой</v>
          </cell>
          <cell r="S55" t="str">
            <v>НЕТ</v>
          </cell>
        </row>
        <row r="61">
          <cell r="C61" t="str">
            <v>ВА 47-29 3Р,  10 А</v>
          </cell>
          <cell r="D61" t="str">
            <v>ВА 47-29 3Р,  16 А</v>
          </cell>
          <cell r="E61" t="str">
            <v>ВА 47-29 3Р,  25 А</v>
          </cell>
          <cell r="F61" t="str">
            <v>ВА 47-29 3Р,  40 А</v>
          </cell>
          <cell r="G61" t="str">
            <v>ВА 88-32 3Р,  16 А</v>
          </cell>
          <cell r="H61" t="str">
            <v>Другое</v>
          </cell>
          <cell r="I61" t="str">
            <v>НЕТ</v>
          </cell>
        </row>
        <row r="62">
          <cell r="C62" t="str">
            <v>ФР-М01-1-15 УХЛ 2</v>
          </cell>
          <cell r="E62" t="str">
            <v>Другое</v>
          </cell>
          <cell r="F62" t="str">
            <v>НЕТ</v>
          </cell>
        </row>
      </sheetData>
      <sheetData sheetId="3" refreshError="1"/>
      <sheetData sheetId="4">
        <row r="1">
          <cell r="B1" t="str">
            <v>ВА0436</v>
          </cell>
          <cell r="C1" t="str">
            <v>ВА4729</v>
          </cell>
          <cell r="D1" t="str">
            <v>ВА5135</v>
          </cell>
          <cell r="E1" t="str">
            <v>ВА5139</v>
          </cell>
          <cell r="F1" t="str">
            <v>ВА5341</v>
          </cell>
          <cell r="G1" t="str">
            <v>ВА5541</v>
          </cell>
          <cell r="H1" t="str">
            <v>ВА5343</v>
          </cell>
          <cell r="I1" t="str">
            <v>ВА5543</v>
          </cell>
          <cell r="J1" t="str">
            <v>ВА5731</v>
          </cell>
          <cell r="K1" t="str">
            <v>ВА57Ф31</v>
          </cell>
          <cell r="L1" t="str">
            <v>ВА5735</v>
          </cell>
          <cell r="M1" t="str">
            <v>ВА57Ф35</v>
          </cell>
          <cell r="N1" t="str">
            <v>ВА5739</v>
          </cell>
          <cell r="O1" t="str">
            <v>ВА8832</v>
          </cell>
          <cell r="P1" t="str">
            <v>ВА8833</v>
          </cell>
          <cell r="Q1" t="str">
            <v>ВА8835</v>
          </cell>
          <cell r="R1" t="str">
            <v>ВА8837</v>
          </cell>
          <cell r="S1" t="str">
            <v>ВА8840</v>
          </cell>
          <cell r="T1" t="str">
            <v>ВА8843</v>
          </cell>
          <cell r="U1" t="str">
            <v>РБК0</v>
          </cell>
          <cell r="V1" t="str">
            <v>РБК1</v>
          </cell>
          <cell r="W1" t="str">
            <v>РБК2</v>
          </cell>
          <cell r="X1" t="str">
            <v>РБК3</v>
          </cell>
          <cell r="Y1" t="str">
            <v>OptiMatD</v>
          </cell>
          <cell r="Z1" t="str">
            <v>НЕТ</v>
          </cell>
        </row>
      </sheetData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U52"/>
  <sheetViews>
    <sheetView tabSelected="1" showRuler="0" topLeftCell="B1" zoomScale="115" zoomScaleNormal="115" zoomScalePageLayoutView="25" workbookViewId="0">
      <selection activeCell="C9" sqref="C9:J9"/>
    </sheetView>
  </sheetViews>
  <sheetFormatPr defaultColWidth="9.109375" defaultRowHeight="14.4" x14ac:dyDescent="0.3"/>
  <cols>
    <col min="1" max="1" width="6.109375" style="1" hidden="1" customWidth="1"/>
    <col min="2" max="2" width="56.44140625" style="2" customWidth="1"/>
    <col min="3" max="10" width="3.5546875" style="5" customWidth="1"/>
    <col min="11" max="11" width="5.109375" style="5" customWidth="1"/>
    <col min="12" max="13" width="5.109375" style="2" customWidth="1"/>
    <col min="14" max="14" width="9.33203125" style="2" customWidth="1"/>
    <col min="15" max="15" width="7.109375" style="2" customWidth="1"/>
    <col min="16" max="21" width="5.109375" style="2" customWidth="1"/>
    <col min="22" max="16384" width="9.109375" style="1"/>
  </cols>
  <sheetData>
    <row r="2" spans="2:21" ht="15" thickBot="1" x14ac:dyDescent="0.35"/>
    <row r="3" spans="2:21" ht="15.6" x14ac:dyDescent="0.3">
      <c r="B3" s="24" t="s">
        <v>3</v>
      </c>
      <c r="C3" s="167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/>
    </row>
    <row r="4" spans="2:21" ht="15.6" x14ac:dyDescent="0.3">
      <c r="B4" s="23" t="s">
        <v>4</v>
      </c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21" ht="15.6" x14ac:dyDescent="0.3">
      <c r="B5" s="23" t="s">
        <v>5</v>
      </c>
      <c r="C5" s="173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5"/>
    </row>
    <row r="6" spans="2:21" ht="15.6" x14ac:dyDescent="0.3">
      <c r="B6" s="23" t="s">
        <v>94</v>
      </c>
      <c r="C6" s="187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2"/>
    </row>
    <row r="7" spans="2:21" ht="16.2" thickBot="1" x14ac:dyDescent="0.35">
      <c r="B7" s="13"/>
      <c r="C7" s="15"/>
      <c r="D7" s="3"/>
      <c r="E7" s="3"/>
      <c r="F7" s="3"/>
      <c r="G7" s="3"/>
      <c r="H7" s="3"/>
      <c r="I7" s="3"/>
      <c r="J7" s="3"/>
      <c r="K7" s="3"/>
      <c r="L7" s="4"/>
      <c r="M7" s="11"/>
      <c r="N7" s="11"/>
      <c r="O7" s="11"/>
      <c r="P7" s="11"/>
      <c r="Q7" s="11"/>
      <c r="R7" s="11"/>
      <c r="S7" s="11"/>
      <c r="T7" s="11"/>
      <c r="U7" s="14"/>
    </row>
    <row r="8" spans="2:21" ht="21.6" thickBot="1" x14ac:dyDescent="0.45">
      <c r="B8" s="176" t="s">
        <v>42</v>
      </c>
      <c r="C8" s="177"/>
      <c r="D8" s="177"/>
      <c r="E8" s="177"/>
      <c r="F8" s="177"/>
      <c r="G8" s="177"/>
      <c r="H8" s="177"/>
      <c r="I8" s="177"/>
      <c r="J8" s="177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9"/>
    </row>
    <row r="9" spans="2:21" ht="15.6" x14ac:dyDescent="0.3">
      <c r="B9" s="26" t="s">
        <v>43</v>
      </c>
      <c r="C9" s="185" t="s">
        <v>85</v>
      </c>
      <c r="D9" s="186"/>
      <c r="E9" s="186"/>
      <c r="F9" s="186"/>
      <c r="G9" s="186"/>
      <c r="H9" s="186"/>
      <c r="I9" s="186"/>
      <c r="J9" s="186"/>
      <c r="K9" s="55"/>
      <c r="L9" s="98"/>
      <c r="M9" s="99"/>
      <c r="N9" s="108" t="s">
        <v>77</v>
      </c>
      <c r="O9" s="108" t="s">
        <v>78</v>
      </c>
      <c r="P9" s="99"/>
      <c r="Q9" s="99"/>
      <c r="R9" s="99"/>
      <c r="S9" s="99"/>
      <c r="T9" s="11"/>
      <c r="U9" s="14"/>
    </row>
    <row r="10" spans="2:21" ht="15.6" x14ac:dyDescent="0.3">
      <c r="B10" s="26" t="s">
        <v>44</v>
      </c>
      <c r="C10" s="185" t="s">
        <v>59</v>
      </c>
      <c r="D10" s="186"/>
      <c r="E10" s="186"/>
      <c r="F10" s="186"/>
      <c r="G10" s="186"/>
      <c r="H10" s="186"/>
      <c r="I10" s="186"/>
      <c r="J10" s="186"/>
      <c r="K10" s="55"/>
      <c r="L10" s="65">
        <f>IF(C10="3ТТ и 3ТН",33,IF(C10="2ТТ и 3ТН",23,IF(C10="2ТТ и 2ТН",22,"")))</f>
        <v>33</v>
      </c>
      <c r="M10" s="11"/>
      <c r="N10" s="66">
        <f>IF(C10="3ТТ и 3ТН",3,IF(C10="3ТТ и 2ТН",3,IF(C10="2ТТ и 3ТН",2,IF(C10="2ТТ и 2ТН",2,""))))</f>
        <v>3</v>
      </c>
      <c r="O10" s="66">
        <f>IF(C10="3ТТ и 3ТН",3,IF(C10="3ТТ и 2ТН",2,IF(C10="2ТТ и 3ТН",3,IF(C10="2ТТ и 2ТН",2,""))))</f>
        <v>3</v>
      </c>
      <c r="P10" s="11"/>
      <c r="Q10" s="164" t="s">
        <v>235</v>
      </c>
      <c r="R10" s="165" t="str">
        <f>LEFT(C10,1)</f>
        <v>3</v>
      </c>
      <c r="S10" s="164" t="s">
        <v>236</v>
      </c>
      <c r="T10" s="165" t="str">
        <f>LEFT(RIGHT(C10,3),1)</f>
        <v>3</v>
      </c>
      <c r="U10" s="165"/>
    </row>
    <row r="11" spans="2:21" ht="15.6" x14ac:dyDescent="0.3">
      <c r="B11" s="27" t="s">
        <v>46</v>
      </c>
      <c r="C11" s="185" t="s">
        <v>0</v>
      </c>
      <c r="D11" s="186"/>
      <c r="E11" s="186"/>
      <c r="F11" s="186"/>
      <c r="G11" s="186"/>
      <c r="H11" s="186"/>
      <c r="I11" s="186"/>
      <c r="J11" s="186"/>
      <c r="K11" s="25"/>
      <c r="M11" s="17"/>
      <c r="N11" s="60" t="str">
        <f>IF(C11="Нет","","Тип опоры: ")</f>
        <v xml:space="preserve">Тип опоры: </v>
      </c>
      <c r="O11" s="184" t="s">
        <v>69</v>
      </c>
      <c r="P11" s="184"/>
      <c r="Q11" s="184"/>
      <c r="R11" s="17"/>
      <c r="S11" s="181"/>
      <c r="T11" s="182"/>
      <c r="U11" s="183"/>
    </row>
    <row r="12" spans="2:21" ht="15.6" x14ac:dyDescent="0.3">
      <c r="B12" s="28" t="s">
        <v>47</v>
      </c>
      <c r="C12" s="180" t="s">
        <v>0</v>
      </c>
      <c r="D12" s="180"/>
      <c r="E12" s="180"/>
      <c r="F12" s="180"/>
      <c r="G12" s="180"/>
      <c r="H12" s="180"/>
      <c r="I12" s="180"/>
      <c r="J12" s="180"/>
      <c r="K12" s="25"/>
      <c r="L12" s="1"/>
      <c r="M12" s="1"/>
      <c r="N12" s="109">
        <f>N10</f>
        <v>3</v>
      </c>
      <c r="O12" s="109">
        <f>O10</f>
        <v>3</v>
      </c>
      <c r="P12" s="1"/>
      <c r="Q12" s="1"/>
      <c r="R12" s="11"/>
      <c r="S12" s="11"/>
      <c r="T12" s="11"/>
      <c r="U12" s="14"/>
    </row>
    <row r="13" spans="2:21" ht="16.5" customHeight="1" x14ac:dyDescent="0.3">
      <c r="C13" s="205"/>
      <c r="D13" s="206"/>
      <c r="E13" s="206"/>
      <c r="F13" s="206"/>
      <c r="G13" s="206"/>
      <c r="H13" s="206"/>
      <c r="I13" s="206"/>
      <c r="J13" s="206"/>
      <c r="K13" s="30"/>
      <c r="L13" s="31"/>
      <c r="M13" s="32"/>
      <c r="N13" s="32"/>
      <c r="O13" s="32"/>
      <c r="P13" s="32"/>
      <c r="Q13" s="32"/>
      <c r="R13" s="32"/>
      <c r="S13" s="32"/>
      <c r="T13" s="32"/>
      <c r="U13" s="32"/>
    </row>
    <row r="14" spans="2:21" x14ac:dyDescent="0.3">
      <c r="B14" s="33" t="s">
        <v>79</v>
      </c>
      <c r="K14" s="56"/>
      <c r="L14" s="12"/>
      <c r="M14" s="11"/>
      <c r="N14" s="11"/>
      <c r="O14" s="11"/>
      <c r="P14" s="11"/>
      <c r="Q14" s="11"/>
      <c r="R14" s="11"/>
      <c r="S14" s="11"/>
      <c r="T14" s="11"/>
      <c r="U14" s="14"/>
    </row>
    <row r="15" spans="2:21" ht="15.6" x14ac:dyDescent="0.3">
      <c r="B15" s="16" t="s">
        <v>45</v>
      </c>
      <c r="C15" s="207" t="s">
        <v>91</v>
      </c>
      <c r="D15" s="195"/>
      <c r="E15" s="195"/>
      <c r="F15" s="195"/>
      <c r="G15" s="195"/>
      <c r="H15" s="195"/>
      <c r="I15" s="195"/>
      <c r="J15" s="208"/>
      <c r="K15" s="56"/>
      <c r="L15" s="12"/>
      <c r="M15" s="11"/>
      <c r="N15" s="11"/>
      <c r="O15" s="11"/>
      <c r="P15" s="11"/>
      <c r="Q15" s="11"/>
      <c r="R15" s="11"/>
      <c r="S15" s="11"/>
      <c r="T15" s="11"/>
      <c r="U15" s="14"/>
    </row>
    <row r="16" spans="2:21" ht="15.6" x14ac:dyDescent="0.3">
      <c r="B16" s="16" t="s">
        <v>51</v>
      </c>
      <c r="C16" s="207">
        <v>10</v>
      </c>
      <c r="D16" s="195"/>
      <c r="E16" s="195"/>
      <c r="F16" s="195"/>
      <c r="G16" s="195"/>
      <c r="H16" s="195"/>
      <c r="I16" s="195"/>
      <c r="J16" s="208"/>
      <c r="K16" s="70" t="str">
        <f ca="1">IFERROR(IF(MATCH(C16,INDIRECT($C$15),0)&gt;0," "," "),"О")</f>
        <v xml:space="preserve"> </v>
      </c>
      <c r="L16" s="12"/>
      <c r="M16" s="11"/>
      <c r="N16" s="11"/>
      <c r="O16" s="11"/>
      <c r="P16" s="11"/>
      <c r="Q16" s="11"/>
      <c r="R16" s="11"/>
      <c r="S16" s="11"/>
      <c r="T16" s="11"/>
      <c r="U16" s="14"/>
    </row>
    <row r="17" spans="2:21" ht="15.6" x14ac:dyDescent="0.3">
      <c r="B17" s="16" t="s">
        <v>48</v>
      </c>
      <c r="C17" s="207">
        <v>0.5</v>
      </c>
      <c r="D17" s="195"/>
      <c r="E17" s="195"/>
      <c r="F17" s="195"/>
      <c r="G17" s="195"/>
      <c r="H17" s="195"/>
      <c r="I17" s="195"/>
      <c r="J17" s="208"/>
      <c r="K17" s="56"/>
      <c r="L17" s="12"/>
      <c r="M17" s="11"/>
      <c r="N17" s="11"/>
      <c r="O17" s="11"/>
      <c r="P17" s="11"/>
      <c r="Q17" s="11"/>
      <c r="R17" s="11"/>
      <c r="S17" s="11"/>
      <c r="T17" s="11"/>
      <c r="U17" s="14"/>
    </row>
    <row r="18" spans="2:21" ht="16.5" customHeight="1" x14ac:dyDescent="0.3">
      <c r="B18" s="29"/>
      <c r="C18" s="205"/>
      <c r="D18" s="206"/>
      <c r="E18" s="206"/>
      <c r="F18" s="206"/>
      <c r="G18" s="206"/>
      <c r="H18" s="206"/>
      <c r="I18" s="206"/>
      <c r="J18" s="206"/>
      <c r="K18" s="30"/>
      <c r="L18" s="31"/>
      <c r="M18" s="32"/>
      <c r="N18" s="32"/>
      <c r="O18" s="32"/>
      <c r="P18" s="32"/>
      <c r="Q18" s="32"/>
      <c r="R18" s="32"/>
      <c r="S18" s="32"/>
      <c r="T18" s="32"/>
      <c r="U18" s="32"/>
    </row>
    <row r="19" spans="2:21" x14ac:dyDescent="0.3">
      <c r="B19" s="33" t="s">
        <v>49</v>
      </c>
      <c r="C19" s="59"/>
      <c r="D19" s="59"/>
      <c r="E19" s="59"/>
      <c r="F19" s="59"/>
      <c r="G19" s="59"/>
      <c r="H19" s="59"/>
      <c r="I19" s="59"/>
      <c r="J19" s="59"/>
      <c r="K19" s="56"/>
      <c r="L19" s="12"/>
      <c r="M19" s="11"/>
      <c r="N19" s="11"/>
      <c r="O19" s="11"/>
      <c r="P19" s="11"/>
      <c r="Q19" s="11"/>
      <c r="R19" s="11"/>
      <c r="S19" s="11"/>
      <c r="T19" s="11"/>
      <c r="U19" s="14"/>
    </row>
    <row r="20" spans="2:21" ht="15.6" x14ac:dyDescent="0.3">
      <c r="B20" s="16" t="s">
        <v>50</v>
      </c>
      <c r="C20" s="207">
        <v>75</v>
      </c>
      <c r="D20" s="195"/>
      <c r="E20" s="195"/>
      <c r="F20" s="195"/>
      <c r="G20" s="195"/>
      <c r="H20" s="195"/>
      <c r="I20" s="195"/>
      <c r="J20" s="208"/>
      <c r="K20" s="56"/>
      <c r="M20" s="11"/>
      <c r="N20" s="60" t="str">
        <f>IF(C20="Другой","Значение: ","")</f>
        <v/>
      </c>
      <c r="O20" s="184"/>
      <c r="P20" s="184"/>
      <c r="Q20" s="184"/>
      <c r="R20" s="17"/>
      <c r="S20" s="211"/>
      <c r="T20" s="212"/>
      <c r="U20" s="213"/>
    </row>
    <row r="21" spans="2:21" ht="15.6" x14ac:dyDescent="0.3">
      <c r="B21" s="16" t="s">
        <v>48</v>
      </c>
      <c r="C21" s="207" t="s">
        <v>64</v>
      </c>
      <c r="D21" s="195"/>
      <c r="E21" s="195"/>
      <c r="F21" s="195"/>
      <c r="G21" s="195"/>
      <c r="H21" s="195"/>
      <c r="I21" s="195"/>
      <c r="J21" s="208"/>
      <c r="K21" s="55"/>
      <c r="L21" s="216" t="s">
        <v>238</v>
      </c>
      <c r="M21" s="216"/>
      <c r="N21" s="216"/>
      <c r="O21" s="216"/>
      <c r="P21" s="216"/>
      <c r="Q21" s="216"/>
      <c r="R21" s="216"/>
      <c r="S21" s="216"/>
      <c r="T21" s="17"/>
      <c r="U21" s="57"/>
    </row>
    <row r="22" spans="2:21" ht="16.5" customHeight="1" x14ac:dyDescent="0.3">
      <c r="B22" s="29"/>
      <c r="C22" s="205"/>
      <c r="D22" s="206"/>
      <c r="E22" s="206"/>
      <c r="F22" s="206"/>
      <c r="G22" s="206"/>
      <c r="H22" s="206"/>
      <c r="I22" s="206"/>
      <c r="J22" s="206"/>
      <c r="K22" s="30"/>
      <c r="L22" s="31"/>
      <c r="M22" s="32"/>
      <c r="N22" s="32"/>
      <c r="O22" s="32"/>
      <c r="P22" s="32"/>
      <c r="Q22" s="32"/>
      <c r="R22" s="32"/>
      <c r="S22" s="32"/>
      <c r="T22" s="32"/>
      <c r="U22" s="32"/>
    </row>
    <row r="23" spans="2:21" ht="15.6" x14ac:dyDescent="0.3">
      <c r="B23" s="34" t="s">
        <v>52</v>
      </c>
      <c r="C23" s="209" t="s">
        <v>1</v>
      </c>
      <c r="D23" s="210"/>
      <c r="E23" s="210"/>
      <c r="F23" s="210"/>
      <c r="G23" s="210"/>
      <c r="H23" s="210"/>
      <c r="I23" s="210"/>
      <c r="J23" s="210"/>
      <c r="K23" s="55"/>
      <c r="L23" s="12"/>
      <c r="M23" s="11"/>
      <c r="N23" s="80" t="str">
        <f>IF(C23="Другой","Тип: ","")</f>
        <v/>
      </c>
      <c r="O23" s="214"/>
      <c r="P23" s="215"/>
      <c r="Q23" s="215"/>
      <c r="R23" s="11"/>
      <c r="S23" s="11"/>
      <c r="T23" s="11"/>
      <c r="U23" s="14"/>
    </row>
    <row r="24" spans="2:21" ht="15.6" x14ac:dyDescent="0.3">
      <c r="B24" s="16" t="s">
        <v>54</v>
      </c>
      <c r="C24" s="207" t="s">
        <v>1</v>
      </c>
      <c r="D24" s="195"/>
      <c r="E24" s="195"/>
      <c r="F24" s="195"/>
      <c r="G24" s="195"/>
      <c r="H24" s="195"/>
      <c r="I24" s="195"/>
      <c r="J24" s="208"/>
      <c r="K24" s="55"/>
      <c r="L24" s="12"/>
      <c r="M24" s="17"/>
      <c r="N24" s="17"/>
      <c r="O24" s="11"/>
      <c r="P24" s="11"/>
      <c r="Q24" s="11"/>
      <c r="R24" s="11"/>
      <c r="S24" s="11"/>
      <c r="T24" s="11"/>
      <c r="U24" s="14"/>
    </row>
    <row r="25" spans="2:21" ht="16.5" customHeight="1" x14ac:dyDescent="0.3">
      <c r="B25" s="29"/>
      <c r="C25" s="205"/>
      <c r="D25" s="206"/>
      <c r="E25" s="206"/>
      <c r="F25" s="206" t="s">
        <v>21</v>
      </c>
      <c r="G25" s="206"/>
      <c r="H25" s="206"/>
      <c r="I25" s="206"/>
      <c r="J25" s="206"/>
      <c r="K25" s="30"/>
      <c r="L25" s="31"/>
      <c r="M25" s="32"/>
      <c r="N25" s="32"/>
      <c r="O25" s="32"/>
      <c r="P25" s="32"/>
      <c r="Q25" s="32"/>
      <c r="R25" s="32"/>
      <c r="S25" s="32"/>
      <c r="T25" s="166"/>
      <c r="U25" s="32"/>
    </row>
    <row r="26" spans="2:21" ht="15.6" x14ac:dyDescent="0.3">
      <c r="B26" s="33" t="s">
        <v>53</v>
      </c>
      <c r="C26" s="185" t="s">
        <v>27</v>
      </c>
      <c r="D26" s="186"/>
      <c r="E26" s="186"/>
      <c r="F26" s="186"/>
      <c r="G26" s="186"/>
      <c r="H26" s="186"/>
      <c r="I26" s="186"/>
      <c r="J26" s="186"/>
      <c r="K26" s="81" t="str">
        <f>IF(C26="Другой","(см. примечание)"," ")</f>
        <v xml:space="preserve"> </v>
      </c>
      <c r="L26" s="53"/>
      <c r="M26" s="10"/>
      <c r="P26" s="60" t="str">
        <f>IF(C26="Нет","","Комплектов:")</f>
        <v>Комплектов:</v>
      </c>
      <c r="Q26" s="217">
        <v>1</v>
      </c>
      <c r="R26" s="218"/>
      <c r="S26" s="218"/>
      <c r="T26" s="165">
        <f>IF(Q26=0,1,Q26)</f>
        <v>1</v>
      </c>
      <c r="U26" s="14"/>
    </row>
    <row r="27" spans="2:21" ht="15.6" x14ac:dyDescent="0.3">
      <c r="B27" s="16" t="s">
        <v>54</v>
      </c>
      <c r="C27" s="207" t="s">
        <v>0</v>
      </c>
      <c r="D27" s="195"/>
      <c r="E27" s="195"/>
      <c r="F27" s="195"/>
      <c r="G27" s="195"/>
      <c r="H27" s="195"/>
      <c r="I27" s="195"/>
      <c r="J27" s="208"/>
      <c r="K27" s="55"/>
      <c r="L27" s="12"/>
      <c r="M27" s="17"/>
      <c r="N27" s="17"/>
      <c r="O27" s="11"/>
      <c r="P27" s="11"/>
      <c r="Q27" s="11"/>
      <c r="R27" s="11"/>
      <c r="S27" s="11"/>
      <c r="T27" s="11"/>
      <c r="U27" s="14"/>
    </row>
    <row r="28" spans="2:21" ht="16.5" customHeight="1" x14ac:dyDescent="0.3">
      <c r="B28" s="29"/>
      <c r="C28" s="205"/>
      <c r="D28" s="206"/>
      <c r="E28" s="206"/>
      <c r="F28" s="206"/>
      <c r="G28" s="206"/>
      <c r="H28" s="206"/>
      <c r="I28" s="206"/>
      <c r="J28" s="206"/>
      <c r="K28" s="30"/>
      <c r="L28" s="31"/>
      <c r="M28" s="32"/>
      <c r="N28" s="32"/>
      <c r="O28" s="32"/>
      <c r="P28" s="32"/>
      <c r="Q28" s="32"/>
      <c r="R28" s="32"/>
      <c r="S28" s="32"/>
      <c r="T28" s="32"/>
      <c r="U28" s="32"/>
    </row>
    <row r="29" spans="2:21" ht="15.6" x14ac:dyDescent="0.3">
      <c r="B29" s="34" t="s">
        <v>55</v>
      </c>
      <c r="C29" s="209"/>
      <c r="D29" s="210"/>
      <c r="E29" s="210"/>
      <c r="F29" s="210"/>
      <c r="G29" s="210"/>
      <c r="H29" s="210"/>
      <c r="I29" s="210"/>
      <c r="J29" s="210"/>
      <c r="K29" s="55"/>
      <c r="L29" s="12"/>
      <c r="M29" s="11"/>
      <c r="N29" s="11"/>
      <c r="O29" s="11"/>
      <c r="P29" s="11"/>
      <c r="Q29" s="11"/>
      <c r="R29" s="11"/>
      <c r="S29" s="11"/>
      <c r="T29" s="11"/>
      <c r="U29" s="14"/>
    </row>
    <row r="30" spans="2:21" x14ac:dyDescent="0.3">
      <c r="B30" s="20" t="s">
        <v>56</v>
      </c>
      <c r="C30" s="225" t="s">
        <v>240</v>
      </c>
      <c r="D30" s="197"/>
      <c r="E30" s="197"/>
      <c r="F30" s="197"/>
      <c r="G30" s="197"/>
      <c r="H30" s="197"/>
      <c r="I30" s="197"/>
      <c r="J30" s="226"/>
      <c r="K30" s="81" t="str">
        <f>IF(C30="Другой","(см. примечание)"," ")</f>
        <v xml:space="preserve"> </v>
      </c>
      <c r="L30" s="17"/>
      <c r="M30" s="17"/>
      <c r="N30" s="17"/>
      <c r="O30" s="17"/>
      <c r="P30" s="17"/>
      <c r="Q30" s="17"/>
      <c r="R30" s="17"/>
      <c r="S30" s="17"/>
      <c r="T30" s="11"/>
      <c r="U30" s="14"/>
    </row>
    <row r="31" spans="2:21" ht="15.6" x14ac:dyDescent="0.3">
      <c r="B31" s="20" t="s">
        <v>72</v>
      </c>
      <c r="C31" s="207" t="s">
        <v>0</v>
      </c>
      <c r="D31" s="195"/>
      <c r="E31" s="195"/>
      <c r="F31" s="195"/>
      <c r="G31" s="195"/>
      <c r="H31" s="195"/>
      <c r="I31" s="195"/>
      <c r="J31" s="208"/>
      <c r="K31" s="25"/>
      <c r="L31" s="17"/>
      <c r="M31" s="17"/>
      <c r="N31" s="17"/>
      <c r="O31" s="17"/>
      <c r="P31" s="17"/>
      <c r="Q31" s="17"/>
      <c r="R31" s="17"/>
      <c r="S31" s="17"/>
      <c r="T31" s="11"/>
      <c r="U31" s="14"/>
    </row>
    <row r="32" spans="2:21" x14ac:dyDescent="0.3">
      <c r="B32" s="20" t="s">
        <v>8</v>
      </c>
      <c r="C32" s="225" t="s">
        <v>13</v>
      </c>
      <c r="D32" s="197"/>
      <c r="E32" s="197"/>
      <c r="F32" s="197"/>
      <c r="G32" s="197"/>
      <c r="H32" s="197"/>
      <c r="I32" s="197"/>
      <c r="J32" s="226"/>
      <c r="K32" s="161">
        <f>IF(OR(C34="Нет",C34="GSM C-1.02",C34="GSM TELEOFIS RX108-R4",C34="Другой",C34=""),1,IF(AND(OR(LEFT(C33,3)="СЭТ",RIGHT(C33,3)="01*",RIGHT(C33,3)="В.G"),C34="Встроен в счетчик"),1,0))</f>
        <v>1</v>
      </c>
      <c r="L32" s="203" t="s">
        <v>232</v>
      </c>
      <c r="M32" s="204"/>
      <c r="N32" s="204"/>
      <c r="O32" s="204"/>
      <c r="P32" s="204"/>
      <c r="Q32" s="204"/>
      <c r="R32" s="204"/>
      <c r="S32" s="204"/>
      <c r="T32" s="204"/>
      <c r="U32" s="14"/>
    </row>
    <row r="33" spans="2:21" x14ac:dyDescent="0.3">
      <c r="B33" s="21" t="s">
        <v>9</v>
      </c>
      <c r="C33" s="222" t="s">
        <v>223</v>
      </c>
      <c r="D33" s="223"/>
      <c r="E33" s="223"/>
      <c r="F33" s="223"/>
      <c r="G33" s="223"/>
      <c r="H33" s="223"/>
      <c r="I33" s="223"/>
      <c r="J33" s="224"/>
      <c r="K33" s="161" t="str">
        <f>LEFT(C33,2)</f>
        <v>M2</v>
      </c>
      <c r="L33" s="80" t="str">
        <f>IF(C33="Другой","Тип: ","")</f>
        <v/>
      </c>
      <c r="M33" s="229"/>
      <c r="N33" s="182"/>
      <c r="O33" s="182"/>
      <c r="P33" s="182"/>
      <c r="Q33" s="182"/>
      <c r="R33" s="182"/>
      <c r="S33" s="182"/>
      <c r="T33" s="182"/>
      <c r="U33" s="14"/>
    </row>
    <row r="34" spans="2:21" x14ac:dyDescent="0.3">
      <c r="B34" s="18" t="s">
        <v>57</v>
      </c>
      <c r="C34" s="219" t="s">
        <v>1</v>
      </c>
      <c r="D34" s="220"/>
      <c r="E34" s="220"/>
      <c r="F34" s="220"/>
      <c r="G34" s="220"/>
      <c r="H34" s="220"/>
      <c r="I34" s="220"/>
      <c r="J34" s="221"/>
      <c r="K34" s="162">
        <f>IF(C34&lt;&gt;"Встроен в счетчик",1,IF(AND(OR(LEFT(C33,3)="СЭТ",RIGHT(C33,3)="01*",RIGHT(C33,3)="В.G"),C34="Встроен в счетчик"),1,0))</f>
        <v>1</v>
      </c>
      <c r="L34" s="58"/>
      <c r="M34" s="64" t="str">
        <f>IF(C34="Другой","Тип:"," ")</f>
        <v xml:space="preserve"> </v>
      </c>
      <c r="N34" s="227"/>
      <c r="O34" s="228"/>
      <c r="P34" s="228"/>
      <c r="Q34" s="228"/>
      <c r="R34" s="63"/>
      <c r="S34" s="63"/>
      <c r="T34" s="11"/>
      <c r="U34" s="14"/>
    </row>
    <row r="35" spans="2:21" ht="28.2" x14ac:dyDescent="0.3">
      <c r="B35" s="86" t="s">
        <v>100</v>
      </c>
      <c r="C35" s="207" t="s">
        <v>0</v>
      </c>
      <c r="D35" s="195"/>
      <c r="E35" s="195"/>
      <c r="F35" s="195"/>
      <c r="G35" s="195"/>
      <c r="H35" s="195"/>
      <c r="I35" s="195"/>
      <c r="J35" s="208"/>
      <c r="K35" s="25"/>
      <c r="N35" s="60" t="str">
        <f>IF(C35="Нет","","метров: ")</f>
        <v xml:space="preserve">метров: </v>
      </c>
      <c r="O35" s="184">
        <v>8</v>
      </c>
      <c r="P35" s="184"/>
      <c r="Q35" s="184"/>
      <c r="T35" s="11"/>
      <c r="U35" s="14"/>
    </row>
    <row r="36" spans="2:21" ht="15.6" x14ac:dyDescent="0.3">
      <c r="B36" s="18" t="s">
        <v>101</v>
      </c>
      <c r="C36" s="207" t="s">
        <v>1</v>
      </c>
      <c r="D36" s="195"/>
      <c r="E36" s="195"/>
      <c r="F36" s="195"/>
      <c r="G36" s="195"/>
      <c r="H36" s="195"/>
      <c r="I36" s="195"/>
      <c r="J36" s="208"/>
      <c r="K36" s="25"/>
      <c r="P36" s="163">
        <v>1</v>
      </c>
      <c r="T36" s="11"/>
      <c r="U36" s="14"/>
    </row>
    <row r="37" spans="2:21" ht="15.6" x14ac:dyDescent="0.3">
      <c r="B37" s="18" t="s">
        <v>102</v>
      </c>
      <c r="C37" s="207" t="s">
        <v>1</v>
      </c>
      <c r="D37" s="195"/>
      <c r="E37" s="195"/>
      <c r="F37" s="195"/>
      <c r="G37" s="195"/>
      <c r="H37" s="195"/>
      <c r="I37" s="195"/>
      <c r="J37" s="208"/>
      <c r="K37" s="25"/>
      <c r="P37" s="163">
        <v>2</v>
      </c>
      <c r="T37" s="11"/>
      <c r="U37" s="14"/>
    </row>
    <row r="38" spans="2:21" ht="15.6" x14ac:dyDescent="0.3">
      <c r="B38" s="18" t="s">
        <v>103</v>
      </c>
      <c r="C38" s="207" t="s">
        <v>1</v>
      </c>
      <c r="D38" s="195"/>
      <c r="E38" s="195"/>
      <c r="F38" s="195"/>
      <c r="G38" s="195"/>
      <c r="H38" s="195"/>
      <c r="I38" s="195"/>
      <c r="J38" s="208"/>
      <c r="K38" s="25"/>
      <c r="P38" s="163">
        <v>3</v>
      </c>
      <c r="T38" s="11"/>
      <c r="U38" s="14"/>
    </row>
    <row r="39" spans="2:21" ht="15.6" x14ac:dyDescent="0.3">
      <c r="B39" s="18"/>
      <c r="C39" s="207"/>
      <c r="D39" s="195"/>
      <c r="E39" s="195"/>
      <c r="F39" s="195"/>
      <c r="G39" s="195"/>
      <c r="H39" s="195"/>
      <c r="I39" s="195"/>
      <c r="J39" s="208"/>
      <c r="K39" s="25"/>
      <c r="T39" s="11"/>
      <c r="U39" s="14"/>
    </row>
    <row r="40" spans="2:21" ht="15.6" x14ac:dyDescent="0.3">
      <c r="B40" s="18"/>
      <c r="C40" s="207"/>
      <c r="D40" s="195"/>
      <c r="E40" s="195"/>
      <c r="F40" s="195"/>
      <c r="G40" s="195"/>
      <c r="H40" s="195"/>
      <c r="I40" s="195"/>
      <c r="J40" s="208"/>
      <c r="K40" s="25"/>
      <c r="T40" s="11"/>
      <c r="U40" s="14"/>
    </row>
    <row r="41" spans="2:21" ht="15.6" x14ac:dyDescent="0.3">
      <c r="B41" s="18"/>
      <c r="C41" s="207"/>
      <c r="D41" s="195"/>
      <c r="E41" s="195"/>
      <c r="F41" s="195"/>
      <c r="G41" s="195"/>
      <c r="H41" s="195"/>
      <c r="I41" s="195"/>
      <c r="J41" s="208"/>
      <c r="K41" s="25"/>
      <c r="T41" s="11"/>
      <c r="U41" s="14"/>
    </row>
    <row r="42" spans="2:21" x14ac:dyDescent="0.3">
      <c r="B42" s="19"/>
      <c r="C42" s="15"/>
      <c r="D42" s="15"/>
      <c r="E42" s="15"/>
      <c r="F42" s="15"/>
      <c r="G42" s="15"/>
      <c r="H42" s="15"/>
      <c r="I42" s="15"/>
      <c r="J42" s="15"/>
      <c r="K42" s="15"/>
      <c r="L42" s="11"/>
      <c r="M42" s="11"/>
      <c r="N42" s="11"/>
      <c r="O42" s="11"/>
      <c r="P42" s="11"/>
      <c r="Q42" s="11"/>
      <c r="R42" s="11"/>
      <c r="S42" s="11"/>
      <c r="T42" s="11"/>
      <c r="U42" s="14"/>
    </row>
    <row r="43" spans="2:21" x14ac:dyDescent="0.3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1"/>
      <c r="M43" s="11"/>
      <c r="N43" s="11"/>
      <c r="O43" s="11"/>
      <c r="P43" s="11"/>
      <c r="Q43" s="11"/>
      <c r="R43" s="11"/>
      <c r="S43" s="11"/>
      <c r="T43" s="11"/>
      <c r="U43" s="14"/>
    </row>
    <row r="44" spans="2:21" x14ac:dyDescent="0.3">
      <c r="B44" s="191" t="s">
        <v>7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3"/>
    </row>
    <row r="45" spans="2:21" x14ac:dyDescent="0.3">
      <c r="B45" s="194" t="str">
        <f>IF(L21="Вторая обмотка - 10Р","Доп. обмотка трансформатора тока 10Р будет выведена на клемник и закорочена"," ")</f>
        <v xml:space="preserve"> 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6"/>
    </row>
    <row r="46" spans="2:21" x14ac:dyDescent="0.3">
      <c r="B46" s="194" t="s">
        <v>237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6"/>
    </row>
    <row r="47" spans="2:21" x14ac:dyDescent="0.3">
      <c r="B47" s="194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6"/>
    </row>
    <row r="48" spans="2:21" x14ac:dyDescent="0.3">
      <c r="B48" s="194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7"/>
      <c r="P48" s="197"/>
      <c r="Q48" s="197"/>
      <c r="R48" s="197"/>
      <c r="S48" s="197"/>
      <c r="T48" s="195"/>
      <c r="U48" s="196"/>
    </row>
    <row r="49" spans="1:21" ht="18" thickBot="1" x14ac:dyDescent="0.35">
      <c r="A49" s="8"/>
      <c r="B49" s="22" t="s">
        <v>10</v>
      </c>
      <c r="C49" s="54" t="str">
        <f>"ПКУ-"&amp;L50&amp;"-"&amp;L10&amp;"-"&amp;C20&amp;"-"&amp;C21&amp;"-"&amp;C16&amp;"-"&amp;C17&amp;" УХЛ1 со шкафом учета"</f>
        <v>ПКУ-10-33-75-0,5S-10-0,5 УХЛ1 со шкафом учета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Q49" s="95"/>
      <c r="R49" s="95"/>
      <c r="S49" s="96" t="s">
        <v>239</v>
      </c>
      <c r="T49" s="93" t="str">
        <f>Список!G104</f>
        <v>-03</v>
      </c>
      <c r="U49" s="94" t="s">
        <v>119</v>
      </c>
    </row>
    <row r="50" spans="1:21" ht="21.6" thickBot="1" x14ac:dyDescent="0.45">
      <c r="B50" s="6" t="s">
        <v>6</v>
      </c>
      <c r="C50" s="198">
        <v>1</v>
      </c>
      <c r="D50" s="199"/>
      <c r="E50" s="199"/>
      <c r="F50" s="199"/>
      <c r="G50" s="199"/>
      <c r="H50" s="199"/>
      <c r="I50" s="199"/>
      <c r="J50" s="200"/>
      <c r="K50" s="15"/>
      <c r="L50" s="165">
        <f>IF(C9="_10_кВ",10,6)</f>
        <v>10</v>
      </c>
      <c r="M50" s="11"/>
      <c r="N50" s="11"/>
      <c r="O50" s="157" t="s">
        <v>233</v>
      </c>
      <c r="P50" s="11"/>
      <c r="Q50" s="201" t="str">
        <f>Список!I168</f>
        <v>нестандартная</v>
      </c>
      <c r="R50" s="202"/>
      <c r="S50" s="202"/>
      <c r="T50" s="202"/>
      <c r="U50" s="14"/>
    </row>
    <row r="51" spans="1:21" ht="11.25" customHeight="1" thickBot="1" x14ac:dyDescent="0.35">
      <c r="B51" s="19"/>
      <c r="C51" s="15"/>
      <c r="D51" s="15"/>
      <c r="E51" s="15"/>
      <c r="F51" s="15"/>
      <c r="G51" s="15"/>
      <c r="H51" s="15"/>
      <c r="I51" s="15"/>
      <c r="J51" s="15"/>
      <c r="K51" s="15"/>
      <c r="L51" s="11"/>
      <c r="M51" s="11"/>
      <c r="N51" s="11"/>
      <c r="O51" s="11"/>
      <c r="P51" s="11"/>
      <c r="Q51" s="11"/>
      <c r="R51" s="11"/>
      <c r="S51" s="11"/>
      <c r="T51" s="11"/>
      <c r="U51" s="14"/>
    </row>
    <row r="52" spans="1:21" ht="30" customHeight="1" thickBot="1" x14ac:dyDescent="0.35">
      <c r="B52" s="188" t="s">
        <v>95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90"/>
    </row>
  </sheetData>
  <dataConsolidate/>
  <mergeCells count="55">
    <mergeCell ref="C41:J41"/>
    <mergeCell ref="O35:Q35"/>
    <mergeCell ref="C36:J36"/>
    <mergeCell ref="C37:J37"/>
    <mergeCell ref="C38:J38"/>
    <mergeCell ref="C39:J39"/>
    <mergeCell ref="C40:J40"/>
    <mergeCell ref="C15:J15"/>
    <mergeCell ref="C35:J35"/>
    <mergeCell ref="N34:Q34"/>
    <mergeCell ref="C25:J25"/>
    <mergeCell ref="C26:J26"/>
    <mergeCell ref="C24:J24"/>
    <mergeCell ref="M33:T33"/>
    <mergeCell ref="C34:J34"/>
    <mergeCell ref="C33:J33"/>
    <mergeCell ref="C32:J32"/>
    <mergeCell ref="C29:J29"/>
    <mergeCell ref="C28:J28"/>
    <mergeCell ref="C30:J30"/>
    <mergeCell ref="C31:J31"/>
    <mergeCell ref="L32:T32"/>
    <mergeCell ref="C13:J13"/>
    <mergeCell ref="C21:J21"/>
    <mergeCell ref="C22:J22"/>
    <mergeCell ref="C23:J23"/>
    <mergeCell ref="S20:U20"/>
    <mergeCell ref="O20:Q20"/>
    <mergeCell ref="C16:J16"/>
    <mergeCell ref="C17:J17"/>
    <mergeCell ref="C18:J18"/>
    <mergeCell ref="C20:J20"/>
    <mergeCell ref="O23:Q23"/>
    <mergeCell ref="L21:S21"/>
    <mergeCell ref="C27:J27"/>
    <mergeCell ref="Q26:S26"/>
    <mergeCell ref="B52:U52"/>
    <mergeCell ref="B44:U44"/>
    <mergeCell ref="B45:U45"/>
    <mergeCell ref="B47:U47"/>
    <mergeCell ref="B48:U48"/>
    <mergeCell ref="C50:J50"/>
    <mergeCell ref="Q50:T50"/>
    <mergeCell ref="B46:U46"/>
    <mergeCell ref="C3:U3"/>
    <mergeCell ref="C4:U4"/>
    <mergeCell ref="C5:U5"/>
    <mergeCell ref="B8:U8"/>
    <mergeCell ref="C12:J12"/>
    <mergeCell ref="S11:U11"/>
    <mergeCell ref="O11:Q11"/>
    <mergeCell ref="C9:J9"/>
    <mergeCell ref="C10:J10"/>
    <mergeCell ref="C11:J11"/>
    <mergeCell ref="C6:U6"/>
  </mergeCells>
  <conditionalFormatting sqref="O11:Q11">
    <cfRule type="expression" dxfId="10" priority="12">
      <formula>$C$11="Да"</formula>
    </cfRule>
    <cfRule type="expression" dxfId="9" priority="14">
      <formula>$C$11="Да"</formula>
    </cfRule>
  </conditionalFormatting>
  <conditionalFormatting sqref="S11:U11">
    <cfRule type="expression" dxfId="8" priority="13">
      <formula>$O$11="Другой"</formula>
    </cfRule>
  </conditionalFormatting>
  <conditionalFormatting sqref="O20:Q20">
    <cfRule type="expression" dxfId="7" priority="10">
      <formula>$C$20="Другой"</formula>
    </cfRule>
  </conditionalFormatting>
  <conditionalFormatting sqref="N34:Q34">
    <cfRule type="expression" dxfId="6" priority="7">
      <formula>$M$34="Тип:"</formula>
    </cfRule>
  </conditionalFormatting>
  <conditionalFormatting sqref="K16">
    <cfRule type="containsText" dxfId="5" priority="6" operator="containsText" text="О">
      <formula>NOT(ISERROR(SEARCH("О",K16)))</formula>
    </cfRule>
  </conditionalFormatting>
  <conditionalFormatting sqref="O23:Q23">
    <cfRule type="expression" dxfId="4" priority="5">
      <formula>$C$23="Другой"</formula>
    </cfRule>
  </conditionalFormatting>
  <conditionalFormatting sqref="Q26">
    <cfRule type="expression" dxfId="3" priority="15">
      <formula>$P$26="Комплектов:"</formula>
    </cfRule>
  </conditionalFormatting>
  <conditionalFormatting sqref="M33:T33">
    <cfRule type="expression" dxfId="2" priority="4">
      <formula>$C$33="Другой"</formula>
    </cfRule>
  </conditionalFormatting>
  <conditionalFormatting sqref="O35:Q35">
    <cfRule type="expression" dxfId="1" priority="2">
      <formula>$C$35="Да"</formula>
    </cfRule>
  </conditionalFormatting>
  <conditionalFormatting sqref="L32:T32">
    <cfRule type="expression" dxfId="0" priority="1">
      <formula>$K$32=0</formula>
    </cfRule>
  </conditionalFormatting>
  <dataValidations count="3">
    <dataValidation type="list" allowBlank="1" showInputMessage="1" showErrorMessage="1" sqref="C9:J9">
      <formula1>класснапряжПКУ</formula1>
    </dataValidation>
    <dataValidation type="list" allowBlank="1" showInputMessage="1" showErrorMessage="1" sqref="C15:J15">
      <formula1>INDIRECT($C$9)</formula1>
    </dataValidation>
    <dataValidation type="list" allowBlank="1" showInputMessage="1" showErrorMessage="1" sqref="C16:J16">
      <formula1>INDIRECT($C$15)</formula1>
    </dataValidation>
  </dataValidations>
  <printOptions horizontalCentered="1"/>
  <pageMargins left="0.25" right="0.25" top="0.75" bottom="0.75" header="0.3" footer="0.3"/>
  <pageSetup paperSize="9" scale="6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Список!$B$25:$V$25</xm:f>
          </x14:formula1>
          <xm:sqref>C33:J33</xm:sqref>
        </x14:dataValidation>
        <x14:dataValidation type="list" allowBlank="1" showInputMessage="1" showErrorMessage="1">
          <x14:formula1>
            <xm:f>Список!$B$26:$G$26</xm:f>
          </x14:formula1>
          <xm:sqref>C34:J34</xm:sqref>
        </x14:dataValidation>
        <x14:dataValidation type="list" allowBlank="1" showInputMessage="1" showErrorMessage="1">
          <x14:formula1>
            <xm:f>Список!$B$3:$F$3</xm:f>
          </x14:formula1>
          <xm:sqref>C10:J10</xm:sqref>
        </x14:dataValidation>
        <x14:dataValidation type="list" allowBlank="1" showInputMessage="1" showErrorMessage="1">
          <x14:formula1>
            <xm:f>Список!$B$5:$C$5</xm:f>
          </x14:formula1>
          <xm:sqref>C11:J11 C12:J12</xm:sqref>
        </x14:dataValidation>
        <x14:dataValidation type="list" allowBlank="1" showInputMessage="1" showErrorMessage="1">
          <x14:formula1>
            <xm:f>Список!$B$9:$E$9</xm:f>
          </x14:formula1>
          <xm:sqref>C17:J17</xm:sqref>
        </x14:dataValidation>
        <x14:dataValidation type="list" allowBlank="1" showInputMessage="1" showErrorMessage="1">
          <x14:formula1>
            <xm:f>Список!$B$12:$U$12</xm:f>
          </x14:formula1>
          <xm:sqref>C20:J20</xm:sqref>
        </x14:dataValidation>
        <x14:dataValidation type="list" allowBlank="1" showInputMessage="1" showErrorMessage="1">
          <x14:formula1>
            <xm:f>Список!$B$13:$G$13</xm:f>
          </x14:formula1>
          <xm:sqref>C21:J21</xm:sqref>
        </x14:dataValidation>
        <x14:dataValidation type="list" allowBlank="1" showInputMessage="1" showErrorMessage="1">
          <x14:formula1>
            <xm:f>Список!$B$15:$F$15</xm:f>
          </x14:formula1>
          <xm:sqref>C23:J23</xm:sqref>
        </x14:dataValidation>
        <x14:dataValidation type="list" allowBlank="1" showInputMessage="1" showErrorMessage="1">
          <x14:formula1>
            <xm:f>Список!$B$16:$C$16</xm:f>
          </x14:formula1>
          <xm:sqref>C24:J24</xm:sqref>
        </x14:dataValidation>
        <x14:dataValidation type="list" allowBlank="1" showInputMessage="1" showErrorMessage="1">
          <x14:formula1>
            <xm:f>Список!$B$18:$V$18</xm:f>
          </x14:formula1>
          <xm:sqref>C26:J26</xm:sqref>
        </x14:dataValidation>
        <x14:dataValidation type="list" allowBlank="1" showInputMessage="1" showErrorMessage="1">
          <x14:formula1>
            <xm:f>Список!$B$20:$C$20</xm:f>
          </x14:formula1>
          <xm:sqref>C27:J27 C31:J31</xm:sqref>
        </x14:dataValidation>
        <x14:dataValidation type="list" allowBlank="1" showInputMessage="1" showErrorMessage="1">
          <x14:formula1>
            <xm:f>Список!$B$19:$C$19</xm:f>
          </x14:formula1>
          <xm:sqref>Q26:S26</xm:sqref>
        </x14:dataValidation>
        <x14:dataValidation type="list" allowBlank="1" showInputMessage="1" showErrorMessage="1">
          <x14:formula1>
            <xm:f>Список!$B$24:$E$24</xm:f>
          </x14:formula1>
          <xm:sqref>C32:J32</xm:sqref>
        </x14:dataValidation>
        <x14:dataValidation type="list" allowBlank="1" showInputMessage="1" showErrorMessage="1">
          <x14:formula1>
            <xm:f>Список!$B$27:$C$27</xm:f>
          </x14:formula1>
          <xm:sqref>C35:J35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168"/>
  <sheetViews>
    <sheetView topLeftCell="A29" zoomScale="85" zoomScaleNormal="85" workbookViewId="0">
      <selection activeCell="G87" sqref="G87"/>
    </sheetView>
  </sheetViews>
  <sheetFormatPr defaultColWidth="9.109375" defaultRowHeight="14.4" customHeight="1" x14ac:dyDescent="0.25"/>
  <cols>
    <col min="1" max="1" width="55.33203125" style="2" bestFit="1" customWidth="1"/>
    <col min="2" max="8" width="9.5546875" style="43" customWidth="1"/>
    <col min="9" max="9" width="19.109375" style="43" customWidth="1"/>
    <col min="10" max="10" width="9.5546875" style="43" customWidth="1"/>
    <col min="11" max="11" width="10.5546875" style="43" customWidth="1"/>
    <col min="12" max="30" width="9.5546875" style="43" customWidth="1"/>
    <col min="31" max="36" width="9.5546875" style="38" customWidth="1"/>
    <col min="37" max="41" width="9.109375" style="38"/>
    <col min="42" max="16384" width="9.109375" style="2"/>
  </cols>
  <sheetData>
    <row r="1" spans="1:42" ht="14.4" customHeight="1" x14ac:dyDescent="0.25">
      <c r="A1" s="35" t="s">
        <v>58</v>
      </c>
    </row>
    <row r="2" spans="1:42" ht="14.4" customHeight="1" x14ac:dyDescent="0.25">
      <c r="A2" s="26" t="s">
        <v>43</v>
      </c>
      <c r="B2" s="43">
        <v>6</v>
      </c>
      <c r="C2" s="43">
        <v>10</v>
      </c>
    </row>
    <row r="3" spans="1:42" ht="14.4" customHeight="1" x14ac:dyDescent="0.25">
      <c r="A3" s="26" t="s">
        <v>44</v>
      </c>
      <c r="B3" s="43" t="s">
        <v>59</v>
      </c>
      <c r="C3" s="43" t="s">
        <v>122</v>
      </c>
      <c r="D3" s="43" t="s">
        <v>60</v>
      </c>
      <c r="E3" s="43" t="s">
        <v>61</v>
      </c>
    </row>
    <row r="4" spans="1:42" ht="14.4" customHeight="1" x14ac:dyDescent="0.3">
      <c r="A4" s="27" t="s">
        <v>46</v>
      </c>
      <c r="B4" s="43" t="s">
        <v>0</v>
      </c>
      <c r="C4" s="43" t="s">
        <v>1</v>
      </c>
      <c r="E4" s="44" t="s">
        <v>62</v>
      </c>
      <c r="F4" s="43" t="s">
        <v>19</v>
      </c>
      <c r="G4" s="43" t="s">
        <v>68</v>
      </c>
      <c r="H4" s="43" t="s">
        <v>69</v>
      </c>
      <c r="I4" s="43" t="s">
        <v>14</v>
      </c>
    </row>
    <row r="5" spans="1:42" ht="14.4" customHeight="1" x14ac:dyDescent="0.25">
      <c r="A5" s="28" t="s">
        <v>47</v>
      </c>
      <c r="B5" s="43" t="s">
        <v>0</v>
      </c>
      <c r="C5" s="43" t="s">
        <v>1</v>
      </c>
    </row>
    <row r="6" spans="1:42" ht="14.4" customHeight="1" x14ac:dyDescent="0.3">
      <c r="A6" s="29"/>
      <c r="B6" s="45"/>
      <c r="C6" s="45"/>
      <c r="D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11"/>
    </row>
    <row r="7" spans="1:42" ht="14.4" customHeight="1" x14ac:dyDescent="0.25">
      <c r="A7" s="35" t="s">
        <v>45</v>
      </c>
      <c r="B7" s="47" t="s">
        <v>82</v>
      </c>
      <c r="C7" s="43" t="str">
        <f>IF('ОЛ ПКУ'!C10="3ТТ и 3ТН"," ","НОЛП-6")</f>
        <v xml:space="preserve"> </v>
      </c>
      <c r="D7" s="47" t="s">
        <v>80</v>
      </c>
      <c r="E7" s="47" t="s">
        <v>73</v>
      </c>
      <c r="F7" s="43" t="str">
        <f>IF('ОЛ ПКУ'!C10="3ТТ и 3ТН"," ","НОЛП-10")</f>
        <v xml:space="preserve"> </v>
      </c>
      <c r="G7" s="47" t="s">
        <v>81</v>
      </c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11"/>
    </row>
    <row r="8" spans="1:42" ht="14.4" customHeight="1" x14ac:dyDescent="0.25">
      <c r="A8" s="36" t="s">
        <v>51</v>
      </c>
      <c r="B8" s="48">
        <v>6</v>
      </c>
      <c r="C8" s="48">
        <v>6.3</v>
      </c>
      <c r="D8" s="43">
        <v>6.6</v>
      </c>
      <c r="E8" s="43">
        <v>6.9</v>
      </c>
      <c r="F8" s="45">
        <v>10</v>
      </c>
      <c r="G8" s="45">
        <v>10.5</v>
      </c>
      <c r="H8" s="45">
        <v>11</v>
      </c>
      <c r="I8" s="45"/>
      <c r="J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11"/>
    </row>
    <row r="9" spans="1:42" ht="14.4" customHeight="1" x14ac:dyDescent="0.25">
      <c r="A9" s="36" t="s">
        <v>48</v>
      </c>
      <c r="B9" s="48">
        <v>0.2</v>
      </c>
      <c r="C9" s="48">
        <v>0.5</v>
      </c>
      <c r="D9" s="45">
        <v>1</v>
      </c>
      <c r="E9" s="45">
        <v>3</v>
      </c>
      <c r="F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11"/>
    </row>
    <row r="10" spans="1:42" ht="14.4" customHeight="1" x14ac:dyDescent="0.3">
      <c r="A10" s="29"/>
      <c r="B10" s="45"/>
      <c r="C10" s="45"/>
      <c r="D10" s="45"/>
      <c r="E10" s="45"/>
      <c r="F10" s="45"/>
      <c r="G10" s="45"/>
      <c r="H10" s="45"/>
      <c r="I10" s="45"/>
      <c r="J10" s="45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11"/>
    </row>
    <row r="11" spans="1:42" ht="14.4" customHeight="1" x14ac:dyDescent="0.25">
      <c r="A11" s="35" t="s">
        <v>49</v>
      </c>
      <c r="B11" s="50"/>
      <c r="C11" s="45"/>
      <c r="D11" s="45"/>
      <c r="E11" s="45"/>
      <c r="F11" s="45"/>
      <c r="G11" s="45"/>
      <c r="H11" s="45"/>
      <c r="I11" s="45"/>
      <c r="J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11"/>
    </row>
    <row r="12" spans="1:42" ht="14.4" customHeight="1" x14ac:dyDescent="0.25">
      <c r="A12" s="36" t="s">
        <v>50</v>
      </c>
      <c r="B12" s="48">
        <v>5</v>
      </c>
      <c r="C12" s="48">
        <v>10</v>
      </c>
      <c r="D12" s="45">
        <v>15</v>
      </c>
      <c r="E12" s="45">
        <v>20</v>
      </c>
      <c r="F12" s="48">
        <v>30</v>
      </c>
      <c r="G12" s="48">
        <v>40</v>
      </c>
      <c r="H12" s="45">
        <v>50</v>
      </c>
      <c r="I12" s="45">
        <v>75</v>
      </c>
      <c r="J12" s="48">
        <v>80</v>
      </c>
      <c r="K12" s="48">
        <v>100</v>
      </c>
      <c r="L12" s="45">
        <v>150</v>
      </c>
      <c r="M12" s="45">
        <v>200</v>
      </c>
      <c r="N12" s="48">
        <v>300</v>
      </c>
      <c r="O12" s="48">
        <v>400</v>
      </c>
      <c r="P12" s="45">
        <v>500</v>
      </c>
      <c r="Q12" s="45">
        <v>600</v>
      </c>
      <c r="R12" s="48">
        <v>750</v>
      </c>
      <c r="S12" s="48">
        <v>800</v>
      </c>
      <c r="T12" s="45">
        <v>1000</v>
      </c>
      <c r="U12" s="45" t="s">
        <v>14</v>
      </c>
      <c r="V12" s="48"/>
      <c r="W12" s="46"/>
      <c r="X12" s="46"/>
      <c r="Y12" s="46"/>
      <c r="Z12" s="46"/>
      <c r="AA12" s="46"/>
      <c r="AB12" s="46"/>
      <c r="AC12" s="46"/>
      <c r="AD12" s="46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11"/>
    </row>
    <row r="13" spans="1:42" ht="14.4" customHeight="1" x14ac:dyDescent="0.25">
      <c r="A13" s="36" t="s">
        <v>48</v>
      </c>
      <c r="B13" s="45">
        <v>0.2</v>
      </c>
      <c r="C13" s="48" t="s">
        <v>63</v>
      </c>
      <c r="D13" s="48" t="s">
        <v>64</v>
      </c>
      <c r="E13" s="45">
        <v>0.5</v>
      </c>
      <c r="F13" s="45">
        <v>1</v>
      </c>
      <c r="G13" s="48" t="s">
        <v>14</v>
      </c>
      <c r="H13" s="48"/>
      <c r="I13" s="48"/>
      <c r="J13" s="45"/>
      <c r="K13" s="45"/>
      <c r="L13" s="48"/>
      <c r="M13" s="48"/>
      <c r="N13" s="48"/>
      <c r="O13" s="48"/>
      <c r="P13" s="45"/>
      <c r="Q13" s="45"/>
      <c r="R13" s="48"/>
      <c r="S13" s="48"/>
      <c r="T13" s="48"/>
      <c r="U13" s="48"/>
      <c r="V13" s="45"/>
      <c r="W13" s="45"/>
      <c r="X13" s="48"/>
      <c r="Y13" s="48"/>
      <c r="Z13" s="48"/>
      <c r="AA13" s="48"/>
      <c r="AB13" s="45"/>
      <c r="AC13" s="45"/>
      <c r="AD13" s="48"/>
      <c r="AE13" s="41"/>
      <c r="AF13" s="41"/>
      <c r="AG13" s="41"/>
      <c r="AH13" s="39"/>
      <c r="AI13" s="39"/>
      <c r="AJ13" s="41"/>
      <c r="AK13" s="41"/>
      <c r="AL13" s="41"/>
      <c r="AM13" s="41"/>
      <c r="AN13" s="39"/>
      <c r="AO13" s="40"/>
      <c r="AP13" s="11"/>
    </row>
    <row r="14" spans="1:42" ht="14.4" customHeight="1" x14ac:dyDescent="0.3">
      <c r="A14" s="29"/>
      <c r="B14" s="48"/>
      <c r="C14" s="48"/>
      <c r="D14" s="45"/>
      <c r="E14" s="45"/>
      <c r="F14" s="48"/>
      <c r="G14" s="48"/>
      <c r="H14" s="48"/>
      <c r="I14" s="48"/>
      <c r="J14" s="45"/>
      <c r="K14" s="45"/>
      <c r="L14" s="48"/>
      <c r="M14" s="48"/>
      <c r="N14" s="48"/>
      <c r="O14" s="48"/>
      <c r="P14" s="45"/>
      <c r="Q14" s="45"/>
      <c r="R14" s="48"/>
      <c r="S14" s="48"/>
      <c r="T14" s="48"/>
      <c r="U14" s="48"/>
      <c r="V14" s="45"/>
      <c r="W14" s="45"/>
      <c r="X14" s="48"/>
      <c r="Y14" s="48"/>
      <c r="Z14" s="48"/>
      <c r="AA14" s="48"/>
      <c r="AB14" s="45"/>
      <c r="AC14" s="45"/>
      <c r="AD14" s="48"/>
      <c r="AE14" s="41"/>
      <c r="AF14" s="41"/>
      <c r="AG14" s="41"/>
      <c r="AH14" s="39"/>
      <c r="AI14" s="39"/>
      <c r="AJ14" s="41"/>
      <c r="AK14" s="41"/>
      <c r="AL14" s="41"/>
      <c r="AM14" s="41"/>
      <c r="AN14" s="39"/>
      <c r="AO14" s="40"/>
      <c r="AP14" s="11"/>
    </row>
    <row r="15" spans="1:42" ht="14.4" customHeight="1" x14ac:dyDescent="0.25">
      <c r="A15" s="37" t="s">
        <v>52</v>
      </c>
      <c r="B15" s="48" t="s">
        <v>65</v>
      </c>
      <c r="C15" s="48"/>
      <c r="D15" s="45"/>
      <c r="E15" s="45" t="s">
        <v>14</v>
      </c>
      <c r="F15" s="48" t="s">
        <v>1</v>
      </c>
      <c r="G15" s="48"/>
      <c r="H15" s="48"/>
      <c r="I15" s="48"/>
      <c r="J15" s="45"/>
      <c r="K15" s="45"/>
      <c r="L15" s="48"/>
      <c r="M15" s="48"/>
      <c r="N15" s="48"/>
      <c r="O15" s="48"/>
      <c r="P15" s="45"/>
      <c r="Q15" s="45"/>
      <c r="R15" s="48"/>
      <c r="S15" s="48"/>
      <c r="T15" s="48"/>
      <c r="U15" s="48"/>
      <c r="V15" s="45"/>
      <c r="W15" s="45"/>
      <c r="X15" s="48"/>
      <c r="Y15" s="48"/>
      <c r="Z15" s="48"/>
      <c r="AA15" s="48"/>
      <c r="AB15" s="45"/>
      <c r="AC15" s="45"/>
      <c r="AD15" s="48"/>
      <c r="AE15" s="41"/>
      <c r="AF15" s="41"/>
      <c r="AG15" s="41"/>
      <c r="AH15" s="39"/>
      <c r="AI15" s="39"/>
      <c r="AJ15" s="41"/>
      <c r="AK15" s="41"/>
      <c r="AL15" s="41"/>
      <c r="AM15" s="41"/>
      <c r="AN15" s="39"/>
      <c r="AO15" s="40"/>
      <c r="AP15" s="11"/>
    </row>
    <row r="16" spans="1:42" ht="14.4" customHeight="1" x14ac:dyDescent="0.25">
      <c r="A16" s="36" t="s">
        <v>54</v>
      </c>
      <c r="B16" s="48" t="s">
        <v>0</v>
      </c>
      <c r="C16" s="48" t="s">
        <v>1</v>
      </c>
      <c r="D16" s="45"/>
      <c r="E16" s="45"/>
      <c r="F16" s="48"/>
      <c r="G16" s="48"/>
      <c r="H16" s="48"/>
      <c r="I16" s="48"/>
      <c r="J16" s="45"/>
      <c r="K16" s="45"/>
      <c r="L16" s="48"/>
      <c r="M16" s="48"/>
      <c r="N16" s="48"/>
      <c r="O16" s="48"/>
      <c r="P16" s="45"/>
      <c r="Q16" s="45"/>
      <c r="R16" s="48"/>
      <c r="S16" s="48"/>
      <c r="T16" s="48"/>
      <c r="U16" s="48"/>
      <c r="V16" s="45"/>
      <c r="W16" s="45"/>
      <c r="X16" s="48"/>
      <c r="Y16" s="48"/>
      <c r="Z16" s="48"/>
      <c r="AA16" s="48"/>
      <c r="AB16" s="45"/>
      <c r="AC16" s="45"/>
      <c r="AD16" s="48"/>
      <c r="AE16" s="41"/>
      <c r="AF16" s="41"/>
      <c r="AG16" s="41"/>
      <c r="AH16" s="39"/>
      <c r="AI16" s="39"/>
      <c r="AJ16" s="41"/>
      <c r="AK16" s="41"/>
      <c r="AL16" s="41"/>
      <c r="AM16" s="41"/>
      <c r="AN16" s="39"/>
      <c r="AO16" s="40"/>
      <c r="AP16" s="11"/>
    </row>
    <row r="17" spans="1:42" ht="14.4" customHeight="1" x14ac:dyDescent="0.3">
      <c r="A17" s="29"/>
      <c r="B17" s="48"/>
      <c r="C17" s="48"/>
      <c r="D17" s="45"/>
      <c r="E17" s="45"/>
      <c r="F17" s="48"/>
      <c r="G17" s="48"/>
      <c r="H17" s="48"/>
      <c r="I17" s="48"/>
      <c r="J17" s="45"/>
      <c r="K17" s="45"/>
      <c r="L17" s="48"/>
      <c r="M17" s="48"/>
      <c r="N17" s="48"/>
      <c r="O17" s="48"/>
      <c r="P17" s="45"/>
      <c r="Q17" s="45"/>
      <c r="R17" s="48"/>
      <c r="S17" s="48"/>
      <c r="T17" s="48"/>
      <c r="U17" s="48"/>
      <c r="V17" s="45"/>
      <c r="W17" s="45"/>
      <c r="X17" s="48"/>
      <c r="Y17" s="48"/>
      <c r="Z17" s="48"/>
      <c r="AA17" s="48"/>
      <c r="AB17" s="45"/>
      <c r="AC17" s="45"/>
      <c r="AD17" s="48"/>
      <c r="AE17" s="41"/>
      <c r="AF17" s="41"/>
      <c r="AG17" s="41"/>
      <c r="AH17" s="39"/>
      <c r="AI17" s="39"/>
      <c r="AJ17" s="41"/>
      <c r="AK17" s="41"/>
      <c r="AL17" s="41"/>
      <c r="AM17" s="41"/>
      <c r="AN17" s="39"/>
      <c r="AO17" s="40"/>
      <c r="AP17" s="11"/>
    </row>
    <row r="18" spans="1:42" ht="14.4" customHeight="1" x14ac:dyDescent="0.3">
      <c r="A18" s="35" t="s">
        <v>53</v>
      </c>
      <c r="B18" s="48" t="s">
        <v>1</v>
      </c>
      <c r="C18" s="51" t="s">
        <v>25</v>
      </c>
      <c r="D18" s="48" t="s">
        <v>26</v>
      </c>
      <c r="E18" s="45" t="s">
        <v>27</v>
      </c>
      <c r="F18" s="45" t="s">
        <v>28</v>
      </c>
      <c r="G18" s="48" t="s">
        <v>29</v>
      </c>
      <c r="H18" s="48" t="s">
        <v>30</v>
      </c>
      <c r="I18" s="48" t="s">
        <v>31</v>
      </c>
      <c r="J18" s="48" t="s">
        <v>32</v>
      </c>
      <c r="K18" s="45"/>
      <c r="L18" s="45" t="s">
        <v>33</v>
      </c>
      <c r="M18" s="48" t="s">
        <v>34</v>
      </c>
      <c r="N18" s="48" t="s">
        <v>41</v>
      </c>
      <c r="O18" s="48" t="s">
        <v>35</v>
      </c>
      <c r="P18" s="48" t="s">
        <v>36</v>
      </c>
      <c r="Q18" s="45" t="s">
        <v>37</v>
      </c>
      <c r="R18" s="45" t="s">
        <v>38</v>
      </c>
      <c r="S18" s="48" t="s">
        <v>39</v>
      </c>
      <c r="T18" s="48" t="s">
        <v>24</v>
      </c>
      <c r="U18" s="52"/>
      <c r="V18" s="48" t="s">
        <v>14</v>
      </c>
      <c r="W18" s="45"/>
      <c r="X18" s="48"/>
      <c r="Y18" s="48"/>
      <c r="Z18" s="48"/>
      <c r="AA18" s="48"/>
      <c r="AB18" s="45"/>
      <c r="AC18" s="45"/>
      <c r="AD18" s="48"/>
      <c r="AE18" s="41"/>
      <c r="AF18" s="41"/>
      <c r="AG18" s="41"/>
      <c r="AH18" s="39"/>
      <c r="AI18" s="39"/>
      <c r="AJ18" s="41"/>
      <c r="AK18" s="41"/>
      <c r="AL18" s="41"/>
      <c r="AM18" s="41"/>
      <c r="AN18" s="39"/>
      <c r="AO18" s="40"/>
      <c r="AP18" s="11"/>
    </row>
    <row r="19" spans="1:42" ht="14.4" customHeight="1" x14ac:dyDescent="0.25">
      <c r="A19" s="36" t="s">
        <v>67</v>
      </c>
      <c r="B19" s="48">
        <v>1</v>
      </c>
      <c r="C19" s="48">
        <v>2</v>
      </c>
      <c r="D19" s="45"/>
      <c r="E19" s="45"/>
      <c r="F19" s="48"/>
      <c r="G19" s="48"/>
      <c r="H19" s="48"/>
      <c r="I19" s="48"/>
      <c r="J19" s="45"/>
      <c r="K19" s="45"/>
      <c r="L19" s="48"/>
      <c r="M19" s="48"/>
      <c r="N19" s="48"/>
      <c r="O19" s="48"/>
      <c r="P19" s="45"/>
      <c r="Q19" s="45"/>
      <c r="R19" s="48"/>
      <c r="S19" s="48"/>
      <c r="T19" s="48"/>
      <c r="U19" s="48"/>
      <c r="V19" s="45"/>
      <c r="W19" s="45"/>
      <c r="X19" s="48"/>
      <c r="Y19" s="48"/>
      <c r="Z19" s="48"/>
      <c r="AA19" s="48"/>
      <c r="AB19" s="45"/>
      <c r="AC19" s="45"/>
      <c r="AD19" s="48"/>
      <c r="AE19" s="41"/>
      <c r="AF19" s="41"/>
      <c r="AG19" s="41"/>
      <c r="AH19" s="39"/>
      <c r="AI19" s="39"/>
      <c r="AJ19" s="41"/>
      <c r="AK19" s="41"/>
      <c r="AL19" s="41"/>
      <c r="AM19" s="41"/>
      <c r="AN19" s="39"/>
      <c r="AO19" s="40"/>
      <c r="AP19" s="11"/>
    </row>
    <row r="20" spans="1:42" ht="14.4" customHeight="1" x14ac:dyDescent="0.25">
      <c r="A20" s="36" t="s">
        <v>54</v>
      </c>
      <c r="B20" s="48" t="s">
        <v>0</v>
      </c>
      <c r="C20" s="48" t="s">
        <v>1</v>
      </c>
      <c r="D20" s="45"/>
      <c r="E20" s="45"/>
      <c r="F20" s="48"/>
      <c r="G20" s="48"/>
      <c r="H20" s="48"/>
      <c r="I20" s="48"/>
      <c r="J20" s="45"/>
      <c r="K20" s="45"/>
      <c r="L20" s="48"/>
      <c r="M20" s="48"/>
      <c r="N20" s="48"/>
      <c r="O20" s="48"/>
      <c r="P20" s="45"/>
      <c r="Q20" s="45"/>
      <c r="R20" s="48"/>
      <c r="S20" s="48"/>
      <c r="T20" s="48"/>
      <c r="U20" s="48"/>
      <c r="V20" s="45"/>
      <c r="W20" s="45"/>
      <c r="X20" s="48"/>
      <c r="Y20" s="48"/>
      <c r="Z20" s="48"/>
      <c r="AA20" s="48"/>
      <c r="AB20" s="45"/>
      <c r="AC20" s="45"/>
      <c r="AD20" s="48"/>
      <c r="AE20" s="41"/>
      <c r="AF20" s="41"/>
      <c r="AG20" s="41"/>
      <c r="AH20" s="39"/>
      <c r="AI20" s="39"/>
      <c r="AJ20" s="41"/>
      <c r="AK20" s="41"/>
      <c r="AL20" s="41"/>
      <c r="AM20" s="41"/>
      <c r="AN20" s="39"/>
      <c r="AO20" s="40"/>
      <c r="AP20" s="11"/>
    </row>
    <row r="21" spans="1:42" ht="14.4" customHeight="1" x14ac:dyDescent="0.3">
      <c r="A21" s="29"/>
      <c r="B21" s="48"/>
      <c r="C21" s="48"/>
      <c r="D21" s="45"/>
      <c r="E21" s="52"/>
      <c r="F21" s="48"/>
      <c r="G21" s="48"/>
      <c r="H21" s="48"/>
      <c r="I21" s="48"/>
      <c r="J21" s="45"/>
      <c r="K21" s="45"/>
      <c r="L21" s="48"/>
      <c r="M21" s="48"/>
      <c r="N21" s="48"/>
      <c r="O21" s="48"/>
      <c r="P21" s="45"/>
      <c r="Q21" s="45"/>
      <c r="R21" s="48"/>
      <c r="S21" s="48"/>
      <c r="T21" s="48"/>
      <c r="U21" s="48"/>
      <c r="V21" s="45"/>
      <c r="W21" s="45"/>
      <c r="X21" s="48"/>
      <c r="Y21" s="48"/>
      <c r="Z21" s="48"/>
      <c r="AA21" s="48"/>
      <c r="AB21" s="45"/>
      <c r="AC21" s="45"/>
      <c r="AD21" s="48"/>
      <c r="AE21" s="41"/>
      <c r="AF21" s="41"/>
      <c r="AG21" s="41"/>
      <c r="AH21" s="39"/>
      <c r="AI21" s="39"/>
      <c r="AJ21" s="41"/>
      <c r="AK21" s="41"/>
      <c r="AL21" s="41"/>
      <c r="AM21" s="41"/>
      <c r="AN21" s="39"/>
      <c r="AO21" s="40"/>
      <c r="AP21" s="11"/>
    </row>
    <row r="22" spans="1:42" ht="14.4" customHeight="1" x14ac:dyDescent="0.25">
      <c r="A22" s="37" t="s">
        <v>55</v>
      </c>
      <c r="B22" s="48"/>
      <c r="C22" s="48"/>
      <c r="D22" s="45"/>
      <c r="E22" s="45"/>
      <c r="F22" s="48"/>
      <c r="G22" s="48"/>
      <c r="H22" s="48"/>
      <c r="I22" s="48"/>
      <c r="J22" s="45"/>
      <c r="K22" s="45"/>
      <c r="L22" s="48"/>
      <c r="M22" s="48"/>
      <c r="N22" s="48"/>
      <c r="O22" s="48"/>
      <c r="P22" s="45"/>
      <c r="Q22" s="45"/>
      <c r="R22" s="48"/>
      <c r="S22" s="48"/>
      <c r="T22" s="48"/>
      <c r="U22" s="48"/>
      <c r="V22" s="45"/>
      <c r="W22" s="45"/>
      <c r="X22" s="48"/>
      <c r="Y22" s="48"/>
      <c r="Z22" s="48"/>
      <c r="AA22" s="48"/>
      <c r="AB22" s="45"/>
      <c r="AC22" s="45"/>
      <c r="AD22" s="48"/>
      <c r="AE22" s="41"/>
      <c r="AF22" s="41"/>
      <c r="AG22" s="41"/>
      <c r="AH22" s="39"/>
      <c r="AI22" s="39"/>
      <c r="AJ22" s="41"/>
      <c r="AK22" s="41"/>
      <c r="AL22" s="41"/>
      <c r="AM22" s="41"/>
      <c r="AN22" s="39"/>
      <c r="AO22" s="40"/>
      <c r="AP22" s="11"/>
    </row>
    <row r="23" spans="1:42" ht="14.4" customHeight="1" x14ac:dyDescent="0.25">
      <c r="A23" s="20" t="s">
        <v>56</v>
      </c>
      <c r="B23" s="48" t="s">
        <v>66</v>
      </c>
      <c r="C23" s="48"/>
      <c r="D23" s="45"/>
      <c r="E23" s="45" t="s">
        <v>14</v>
      </c>
      <c r="F23" s="48"/>
      <c r="G23" s="48"/>
      <c r="H23" s="48"/>
      <c r="I23" s="48"/>
      <c r="J23" s="45"/>
      <c r="K23" s="45"/>
      <c r="L23" s="48"/>
      <c r="M23" s="48"/>
      <c r="N23" s="48"/>
      <c r="O23" s="48"/>
      <c r="P23" s="45"/>
      <c r="Q23" s="45"/>
      <c r="R23" s="48"/>
      <c r="S23" s="48"/>
      <c r="T23" s="48"/>
      <c r="U23" s="48"/>
      <c r="V23" s="45"/>
      <c r="W23" s="45"/>
      <c r="X23" s="48"/>
      <c r="Y23" s="48"/>
      <c r="Z23" s="48"/>
      <c r="AA23" s="48"/>
      <c r="AB23" s="45"/>
      <c r="AC23" s="45"/>
      <c r="AD23" s="48"/>
      <c r="AE23" s="41"/>
      <c r="AF23" s="41"/>
      <c r="AG23" s="41"/>
      <c r="AH23" s="39"/>
      <c r="AI23" s="39"/>
      <c r="AJ23" s="41"/>
      <c r="AK23" s="41"/>
      <c r="AL23" s="41"/>
      <c r="AM23" s="41"/>
      <c r="AN23" s="39"/>
      <c r="AO23" s="40"/>
      <c r="AP23" s="11"/>
    </row>
    <row r="24" spans="1:42" ht="14.4" customHeight="1" x14ac:dyDescent="0.25">
      <c r="A24" s="20" t="s">
        <v>8</v>
      </c>
      <c r="B24" s="48" t="s">
        <v>11</v>
      </c>
      <c r="C24" s="48" t="s">
        <v>12</v>
      </c>
      <c r="D24" s="45" t="s">
        <v>13</v>
      </c>
      <c r="E24" s="45" t="s">
        <v>2</v>
      </c>
      <c r="F24" s="48"/>
      <c r="G24" s="48"/>
      <c r="H24" s="48"/>
      <c r="I24" s="48"/>
      <c r="J24" s="45"/>
      <c r="K24" s="45"/>
      <c r="L24" s="48"/>
      <c r="M24" s="48"/>
      <c r="N24" s="48"/>
      <c r="O24" s="48"/>
      <c r="P24" s="45"/>
      <c r="Q24" s="45"/>
      <c r="R24" s="48"/>
      <c r="S24" s="48"/>
      <c r="T24" s="48"/>
      <c r="U24" s="48"/>
      <c r="V24" s="45"/>
      <c r="W24" s="45"/>
      <c r="X24" s="48"/>
      <c r="Y24" s="48"/>
      <c r="Z24" s="48"/>
      <c r="AA24" s="48"/>
      <c r="AB24" s="45"/>
      <c r="AC24" s="45"/>
      <c r="AD24" s="48"/>
      <c r="AE24" s="41"/>
      <c r="AF24" s="41"/>
      <c r="AG24" s="41"/>
      <c r="AH24" s="39"/>
      <c r="AI24" s="39"/>
      <c r="AJ24" s="41"/>
      <c r="AK24" s="41"/>
      <c r="AL24" s="41"/>
      <c r="AM24" s="41"/>
      <c r="AN24" s="39"/>
    </row>
    <row r="25" spans="1:42" ht="14.4" customHeight="1" x14ac:dyDescent="0.3">
      <c r="A25" s="21" t="s">
        <v>9</v>
      </c>
      <c r="B25" s="145" t="s">
        <v>40</v>
      </c>
      <c r="C25" s="145" t="s">
        <v>207</v>
      </c>
      <c r="D25" s="145" t="s">
        <v>208</v>
      </c>
      <c r="E25" s="145" t="s">
        <v>209</v>
      </c>
      <c r="F25" s="145" t="s">
        <v>210</v>
      </c>
      <c r="G25" s="145" t="s">
        <v>211</v>
      </c>
      <c r="H25" s="145" t="s">
        <v>212</v>
      </c>
      <c r="I25" s="145" t="s">
        <v>213</v>
      </c>
      <c r="J25" s="145" t="s">
        <v>214</v>
      </c>
      <c r="K25" s="145" t="s">
        <v>215</v>
      </c>
      <c r="L25" s="145" t="s">
        <v>216</v>
      </c>
      <c r="M25" s="145" t="s">
        <v>217</v>
      </c>
      <c r="N25" s="145" t="s">
        <v>218</v>
      </c>
      <c r="O25" s="145" t="s">
        <v>219</v>
      </c>
      <c r="P25" s="145" t="s">
        <v>220</v>
      </c>
      <c r="Q25" s="145" t="s">
        <v>221</v>
      </c>
      <c r="R25" s="145" t="s">
        <v>222</v>
      </c>
      <c r="S25" s="145" t="s">
        <v>223</v>
      </c>
      <c r="T25" s="146" t="s">
        <v>14</v>
      </c>
      <c r="U25" s="146" t="s">
        <v>2</v>
      </c>
      <c r="V25" s="45"/>
      <c r="W25" s="45"/>
      <c r="X25" s="48"/>
      <c r="Y25" s="48"/>
      <c r="Z25" s="48"/>
      <c r="AA25" s="48"/>
      <c r="AB25" s="45"/>
      <c r="AC25" s="45"/>
      <c r="AD25" s="48"/>
      <c r="AE25" s="41"/>
      <c r="AF25" s="41"/>
      <c r="AG25" s="41"/>
      <c r="AH25" s="39"/>
      <c r="AI25" s="39"/>
      <c r="AJ25" s="41"/>
      <c r="AK25" s="41"/>
      <c r="AL25" s="41"/>
      <c r="AM25" s="41"/>
      <c r="AN25" s="39"/>
    </row>
    <row r="26" spans="1:42" ht="14.4" customHeight="1" x14ac:dyDescent="0.25">
      <c r="A26" s="18" t="s">
        <v>57</v>
      </c>
      <c r="B26" s="61" t="s">
        <v>1</v>
      </c>
      <c r="C26" s="61" t="s">
        <v>22</v>
      </c>
      <c r="D26" s="62" t="s">
        <v>70</v>
      </c>
      <c r="E26" s="61" t="s">
        <v>20</v>
      </c>
      <c r="F26" s="43" t="s">
        <v>14</v>
      </c>
      <c r="I26" s="48"/>
      <c r="J26" s="45"/>
      <c r="K26" s="45"/>
      <c r="L26" s="48"/>
      <c r="M26" s="48"/>
      <c r="N26" s="48"/>
      <c r="O26" s="48"/>
      <c r="P26" s="45"/>
      <c r="Q26" s="45"/>
      <c r="R26" s="48"/>
      <c r="S26" s="48"/>
      <c r="T26" s="48"/>
      <c r="U26" s="48"/>
      <c r="V26" s="45"/>
      <c r="W26" s="45"/>
      <c r="X26" s="48"/>
      <c r="Y26" s="48"/>
      <c r="Z26" s="48"/>
      <c r="AA26" s="48"/>
      <c r="AB26" s="45"/>
      <c r="AC26" s="45"/>
      <c r="AD26" s="48"/>
      <c r="AE26" s="41"/>
      <c r="AF26" s="41"/>
      <c r="AG26" s="41"/>
      <c r="AH26" s="39"/>
      <c r="AI26" s="39"/>
      <c r="AJ26" s="41"/>
      <c r="AK26" s="41"/>
      <c r="AL26" s="41"/>
      <c r="AM26" s="41"/>
      <c r="AN26" s="39"/>
    </row>
    <row r="27" spans="1:42" ht="14.4" customHeight="1" x14ac:dyDescent="0.25">
      <c r="A27" s="18" t="s">
        <v>71</v>
      </c>
      <c r="B27" s="48" t="s">
        <v>0</v>
      </c>
      <c r="C27" s="48" t="s">
        <v>1</v>
      </c>
      <c r="D27" s="45"/>
      <c r="E27" s="45"/>
      <c r="F27" s="48"/>
      <c r="G27" s="48"/>
      <c r="H27" s="48"/>
      <c r="I27" s="48"/>
      <c r="J27" s="45"/>
      <c r="K27" s="45"/>
      <c r="L27" s="48"/>
      <c r="M27" s="48"/>
      <c r="N27" s="48"/>
      <c r="O27" s="48"/>
      <c r="P27" s="45"/>
      <c r="Q27" s="45"/>
      <c r="R27" s="48"/>
      <c r="S27" s="48"/>
      <c r="T27" s="48"/>
      <c r="U27" s="48"/>
      <c r="V27" s="45"/>
      <c r="W27" s="45"/>
      <c r="X27" s="48"/>
      <c r="Y27" s="48"/>
      <c r="Z27" s="48"/>
      <c r="AA27" s="48"/>
      <c r="AB27" s="45"/>
      <c r="AC27" s="45"/>
      <c r="AD27" s="48"/>
      <c r="AE27" s="41"/>
      <c r="AF27" s="41"/>
      <c r="AG27" s="41"/>
      <c r="AH27" s="39"/>
      <c r="AI27" s="39"/>
      <c r="AJ27" s="41"/>
      <c r="AK27" s="41"/>
      <c r="AL27" s="41"/>
      <c r="AM27" s="41"/>
      <c r="AN27" s="39"/>
    </row>
    <row r="28" spans="1:42" ht="14.4" customHeight="1" x14ac:dyDescent="0.25">
      <c r="B28" s="48"/>
      <c r="C28" s="48"/>
      <c r="D28" s="45"/>
      <c r="E28" s="45"/>
      <c r="F28" s="48" t="s">
        <v>18</v>
      </c>
      <c r="G28" s="48" t="s">
        <v>15</v>
      </c>
      <c r="H28" s="48"/>
      <c r="I28" s="48"/>
      <c r="J28" s="45"/>
      <c r="K28" s="45"/>
      <c r="L28" s="48"/>
      <c r="M28" s="48"/>
      <c r="N28" s="48"/>
      <c r="O28" s="48"/>
      <c r="P28" s="45"/>
      <c r="Q28" s="45"/>
      <c r="R28" s="48"/>
      <c r="S28" s="48"/>
      <c r="T28" s="48"/>
      <c r="U28" s="48"/>
      <c r="V28" s="45"/>
      <c r="W28" s="45"/>
      <c r="X28" s="48"/>
      <c r="Y28" s="48"/>
      <c r="Z28" s="48"/>
      <c r="AA28" s="48"/>
      <c r="AB28" s="45"/>
      <c r="AC28" s="45"/>
      <c r="AD28" s="48"/>
      <c r="AE28" s="41"/>
      <c r="AF28" s="41"/>
      <c r="AG28" s="41"/>
      <c r="AH28" s="39"/>
      <c r="AI28" s="39"/>
      <c r="AJ28" s="41"/>
      <c r="AK28" s="41"/>
      <c r="AL28" s="41"/>
      <c r="AM28" s="41"/>
      <c r="AN28" s="39"/>
    </row>
    <row r="29" spans="1:42" ht="14.4" customHeight="1" x14ac:dyDescent="0.25">
      <c r="B29" s="48"/>
      <c r="C29" s="48"/>
      <c r="D29" s="45"/>
      <c r="E29" s="45"/>
      <c r="F29" s="48"/>
      <c r="G29" s="48" t="s">
        <v>16</v>
      </c>
      <c r="H29" s="48" t="s">
        <v>17</v>
      </c>
      <c r="I29" s="48"/>
      <c r="J29" s="45"/>
      <c r="K29" s="45"/>
      <c r="L29" s="48"/>
      <c r="M29" s="48"/>
      <c r="N29" s="48"/>
      <c r="O29" s="48"/>
      <c r="P29" s="45"/>
      <c r="Q29" s="45"/>
      <c r="R29" s="48"/>
      <c r="S29" s="48"/>
      <c r="T29" s="48"/>
      <c r="U29" s="48"/>
      <c r="V29" s="45"/>
      <c r="W29" s="45"/>
      <c r="X29" s="48"/>
      <c r="Y29" s="48"/>
      <c r="Z29" s="48"/>
      <c r="AA29" s="48"/>
      <c r="AB29" s="45"/>
      <c r="AC29" s="45"/>
      <c r="AD29" s="48"/>
      <c r="AE29" s="41"/>
      <c r="AF29" s="41"/>
      <c r="AG29" s="41"/>
      <c r="AH29" s="39"/>
      <c r="AI29" s="39"/>
      <c r="AJ29" s="41"/>
      <c r="AK29" s="41"/>
      <c r="AL29" s="41"/>
      <c r="AM29" s="41"/>
      <c r="AN29" s="39"/>
    </row>
    <row r="30" spans="1:42" ht="14.4" customHeight="1" x14ac:dyDescent="0.25">
      <c r="B30" s="48"/>
      <c r="C30" s="48"/>
      <c r="D30" s="45"/>
      <c r="E30" s="45"/>
      <c r="F30" s="48"/>
      <c r="G30" s="48"/>
      <c r="H30" s="48"/>
      <c r="I30" s="48"/>
      <c r="J30" s="45"/>
      <c r="K30" s="45"/>
      <c r="L30" s="48"/>
      <c r="M30" s="48"/>
      <c r="N30" s="48"/>
      <c r="O30" s="48"/>
      <c r="P30" s="45"/>
      <c r="Q30" s="45"/>
      <c r="R30" s="48"/>
      <c r="S30" s="48"/>
      <c r="T30" s="48"/>
      <c r="U30" s="48"/>
      <c r="V30" s="45"/>
      <c r="W30" s="45"/>
      <c r="X30" s="48"/>
      <c r="Y30" s="48"/>
      <c r="Z30" s="48"/>
      <c r="AA30" s="48"/>
      <c r="AB30" s="45"/>
      <c r="AC30" s="45"/>
      <c r="AD30" s="48"/>
      <c r="AE30" s="41"/>
      <c r="AF30" s="41"/>
      <c r="AG30" s="41"/>
      <c r="AH30" s="39"/>
      <c r="AI30" s="39"/>
      <c r="AJ30" s="41"/>
      <c r="AK30" s="41"/>
      <c r="AL30" s="41"/>
      <c r="AM30" s="41"/>
      <c r="AN30" s="39"/>
    </row>
    <row r="31" spans="1:42" s="9" customFormat="1" ht="14.4" customHeight="1" x14ac:dyDescent="0.25">
      <c r="B31" s="48"/>
      <c r="C31" s="48"/>
      <c r="D31" s="45"/>
      <c r="E31" s="45"/>
      <c r="F31" s="48"/>
      <c r="G31" s="48"/>
      <c r="H31" s="48"/>
      <c r="I31" s="48"/>
      <c r="J31" s="45"/>
      <c r="K31" s="45"/>
      <c r="L31" s="48"/>
      <c r="M31" s="48"/>
      <c r="N31" s="48"/>
      <c r="O31" s="48"/>
      <c r="P31" s="45"/>
      <c r="Q31" s="45"/>
      <c r="R31" s="48"/>
      <c r="S31" s="48"/>
      <c r="T31" s="48"/>
      <c r="U31" s="48"/>
      <c r="V31" s="45"/>
      <c r="W31" s="45"/>
      <c r="X31" s="48"/>
      <c r="Y31" s="48"/>
      <c r="Z31" s="48"/>
      <c r="AA31" s="48"/>
      <c r="AB31" s="45"/>
      <c r="AC31" s="45"/>
      <c r="AD31" s="48"/>
      <c r="AE31" s="41"/>
      <c r="AF31" s="41"/>
      <c r="AG31" s="41"/>
      <c r="AH31" s="39"/>
      <c r="AI31" s="39"/>
      <c r="AJ31" s="41"/>
      <c r="AK31" s="41"/>
      <c r="AL31" s="41"/>
      <c r="AM31" s="41"/>
      <c r="AN31" s="39"/>
      <c r="AO31" s="42"/>
    </row>
    <row r="32" spans="1:42" ht="14.4" customHeight="1" x14ac:dyDescent="0.25">
      <c r="A32" s="2" t="s">
        <v>23</v>
      </c>
      <c r="B32" s="48"/>
      <c r="C32" s="48"/>
      <c r="D32" s="45"/>
      <c r="E32" s="45"/>
      <c r="F32" s="48"/>
      <c r="G32" s="48"/>
      <c r="H32" s="48"/>
      <c r="I32" s="48"/>
      <c r="J32" s="45"/>
      <c r="K32" s="45"/>
      <c r="L32" s="48"/>
      <c r="M32" s="48"/>
      <c r="N32" s="48"/>
      <c r="O32" s="48"/>
      <c r="P32" s="45"/>
      <c r="Q32" s="45"/>
      <c r="R32" s="48"/>
      <c r="S32" s="48"/>
      <c r="T32" s="48"/>
      <c r="U32" s="48"/>
      <c r="V32" s="45"/>
      <c r="W32" s="45"/>
      <c r="X32" s="48"/>
      <c r="Y32" s="48"/>
      <c r="Z32" s="48"/>
      <c r="AA32" s="48"/>
      <c r="AB32" s="45"/>
      <c r="AC32" s="45"/>
      <c r="AD32" s="48"/>
      <c r="AE32" s="41"/>
      <c r="AF32" s="41"/>
      <c r="AG32" s="41"/>
      <c r="AH32" s="39"/>
      <c r="AI32" s="39"/>
      <c r="AJ32" s="41"/>
      <c r="AK32" s="41"/>
      <c r="AL32" s="41"/>
      <c r="AM32" s="41"/>
      <c r="AN32" s="39"/>
    </row>
    <row r="33" spans="1:40" ht="14.4" customHeight="1" x14ac:dyDescent="0.25">
      <c r="B33" s="48"/>
      <c r="C33" s="48"/>
      <c r="D33" s="45"/>
      <c r="E33" s="45"/>
      <c r="F33" s="48"/>
      <c r="G33" s="48"/>
      <c r="H33" s="48"/>
      <c r="I33" s="48"/>
      <c r="J33" s="45"/>
      <c r="K33" s="45"/>
      <c r="L33" s="48"/>
      <c r="M33" s="48"/>
      <c r="N33" s="48"/>
      <c r="O33" s="48"/>
      <c r="P33" s="45"/>
      <c r="Q33" s="45"/>
      <c r="R33" s="48"/>
      <c r="S33" s="48"/>
      <c r="T33" s="48"/>
      <c r="U33" s="48"/>
      <c r="V33" s="45"/>
      <c r="W33" s="45"/>
      <c r="X33" s="48"/>
      <c r="Y33" s="48"/>
      <c r="Z33" s="48"/>
      <c r="AA33" s="48"/>
      <c r="AB33" s="45"/>
      <c r="AC33" s="45"/>
      <c r="AD33" s="48"/>
      <c r="AE33" s="41"/>
      <c r="AF33" s="41"/>
      <c r="AG33" s="41"/>
      <c r="AH33" s="39"/>
      <c r="AI33" s="39"/>
      <c r="AJ33" s="41"/>
      <c r="AK33" s="41"/>
      <c r="AL33" s="41"/>
      <c r="AM33" s="41"/>
      <c r="AN33" s="39"/>
    </row>
    <row r="34" spans="1:40" ht="14.4" customHeight="1" x14ac:dyDescent="0.25">
      <c r="B34" s="48"/>
      <c r="C34" s="48"/>
      <c r="D34" s="45"/>
      <c r="E34" s="45"/>
      <c r="F34" s="48"/>
      <c r="G34" s="48"/>
      <c r="H34" s="48"/>
      <c r="I34" s="48"/>
      <c r="J34" s="45"/>
      <c r="K34" s="45"/>
      <c r="L34" s="48"/>
      <c r="M34" s="48"/>
      <c r="N34" s="48"/>
      <c r="O34" s="48"/>
      <c r="P34" s="45"/>
      <c r="Q34" s="45"/>
      <c r="R34" s="48"/>
      <c r="S34" s="48"/>
      <c r="T34" s="48"/>
      <c r="U34" s="48"/>
      <c r="V34" s="45"/>
      <c r="W34" s="45"/>
      <c r="X34" s="48"/>
      <c r="Y34" s="48"/>
      <c r="Z34" s="48"/>
      <c r="AA34" s="48"/>
      <c r="AB34" s="45"/>
      <c r="AC34" s="45"/>
      <c r="AD34" s="48"/>
      <c r="AE34" s="41"/>
      <c r="AF34" s="41"/>
      <c r="AG34" s="41"/>
      <c r="AH34" s="39"/>
      <c r="AI34" s="39"/>
      <c r="AJ34" s="41"/>
      <c r="AK34" s="41"/>
      <c r="AL34" s="41"/>
      <c r="AM34" s="41"/>
      <c r="AN34" s="39"/>
    </row>
    <row r="35" spans="1:40" ht="14.4" customHeight="1" x14ac:dyDescent="0.3">
      <c r="B35" s="67" t="s">
        <v>83</v>
      </c>
      <c r="C35" s="69" t="s">
        <v>84</v>
      </c>
      <c r="D35" s="69" t="s">
        <v>85</v>
      </c>
      <c r="E35" s="69"/>
      <c r="F35" s="69"/>
      <c r="G35" s="48"/>
      <c r="H35" s="48"/>
      <c r="I35" s="48"/>
      <c r="J35" s="45"/>
      <c r="K35" s="45"/>
      <c r="L35" s="48"/>
      <c r="M35" s="48"/>
      <c r="N35" s="48"/>
      <c r="O35" s="48"/>
      <c r="P35" s="45"/>
      <c r="Q35" s="45"/>
      <c r="R35" s="48"/>
      <c r="S35" s="48"/>
      <c r="T35" s="48"/>
      <c r="U35" s="48"/>
      <c r="V35" s="45"/>
      <c r="W35" s="45"/>
      <c r="X35" s="48"/>
      <c r="Y35" s="48"/>
      <c r="Z35" s="48"/>
      <c r="AA35" s="48"/>
      <c r="AB35" s="45"/>
      <c r="AC35" s="45"/>
      <c r="AD35" s="48"/>
      <c r="AE35" s="41"/>
      <c r="AF35" s="41"/>
      <c r="AG35" s="41"/>
      <c r="AH35" s="39"/>
      <c r="AI35" s="39"/>
      <c r="AJ35" s="41"/>
      <c r="AK35" s="41"/>
      <c r="AL35" s="41"/>
      <c r="AM35" s="41"/>
      <c r="AN35" s="39"/>
    </row>
    <row r="36" spans="1:40" ht="14.4" customHeight="1" x14ac:dyDescent="0.3">
      <c r="A36" s="67"/>
      <c r="B36" s="230"/>
      <c r="C36" s="231"/>
      <c r="D36" s="231"/>
      <c r="E36" s="231"/>
      <c r="F36" s="48"/>
      <c r="G36" s="48"/>
      <c r="H36" s="48"/>
      <c r="I36" s="48"/>
      <c r="J36" s="45"/>
      <c r="K36" s="45"/>
      <c r="L36" s="48"/>
      <c r="M36" s="48"/>
      <c r="N36" s="48"/>
      <c r="O36" s="48"/>
      <c r="P36" s="45"/>
      <c r="Q36" s="45"/>
      <c r="R36" s="48"/>
      <c r="S36" s="48"/>
      <c r="T36" s="48"/>
      <c r="U36" s="48"/>
      <c r="V36" s="45"/>
      <c r="W36" s="45"/>
      <c r="X36" s="48"/>
      <c r="Y36" s="48"/>
      <c r="Z36" s="48"/>
      <c r="AA36" s="48"/>
      <c r="AB36" s="45"/>
      <c r="AC36" s="45"/>
      <c r="AD36" s="48"/>
      <c r="AE36" s="41"/>
      <c r="AF36" s="41"/>
      <c r="AG36" s="41"/>
      <c r="AH36" s="39"/>
      <c r="AI36" s="39"/>
      <c r="AJ36" s="41"/>
      <c r="AK36" s="41"/>
      <c r="AL36" s="41"/>
      <c r="AM36" s="41"/>
      <c r="AN36" s="39"/>
    </row>
    <row r="37" spans="1:40" ht="14.4" customHeight="1" x14ac:dyDescent="0.3">
      <c r="A37" s="67"/>
      <c r="B37" s="69" t="s">
        <v>84</v>
      </c>
      <c r="C37" s="68" t="str">
        <f>IF(OR('ОЛ ПКУ'!C10="2ТТ и 2ТН",'ОЛ ПКУ'!C10="3ТТ и 2ТН")," ","ЗНОЛП_6")</f>
        <v>ЗНОЛП_6</v>
      </c>
      <c r="D37" s="68" t="str">
        <f>IF(OR('ОЛ ПКУ'!C10="2ТТ и 2ТН",'ОЛ ПКУ'!C10="3ТТ и 2ТН"),"НОЛП_6","")</f>
        <v/>
      </c>
      <c r="E37" s="68" t="str">
        <f>IF(OR('ОЛ ПКУ'!C10="2ТТ и 2ТН",'ОЛ ПКУ'!C10="3ТТ и 2ТН")," ","НОЛ.08_6М")</f>
        <v>НОЛ.08_6М</v>
      </c>
      <c r="F37" s="48"/>
      <c r="G37" s="48"/>
      <c r="H37" s="48"/>
      <c r="I37" s="48"/>
      <c r="J37" s="45"/>
      <c r="K37" s="45"/>
      <c r="L37" s="48"/>
      <c r="M37" s="48"/>
      <c r="N37" s="48"/>
      <c r="O37" s="48"/>
      <c r="P37" s="45"/>
      <c r="Q37" s="45"/>
      <c r="R37" s="48"/>
      <c r="S37" s="48"/>
      <c r="T37" s="48"/>
      <c r="U37" s="48"/>
      <c r="V37" s="45"/>
      <c r="W37" s="45"/>
      <c r="X37" s="48"/>
      <c r="Y37" s="48"/>
      <c r="Z37" s="48"/>
      <c r="AA37" s="48"/>
      <c r="AB37" s="45"/>
      <c r="AC37" s="45"/>
      <c r="AD37" s="48"/>
      <c r="AE37" s="41"/>
      <c r="AF37" s="41"/>
      <c r="AG37" s="41"/>
      <c r="AH37" s="39"/>
      <c r="AI37" s="39"/>
      <c r="AJ37" s="41"/>
      <c r="AK37" s="41"/>
      <c r="AL37" s="41"/>
      <c r="AM37" s="41"/>
      <c r="AN37" s="39"/>
    </row>
    <row r="38" spans="1:40" ht="14.4" customHeight="1" x14ac:dyDescent="0.3">
      <c r="A38" s="67"/>
      <c r="B38" s="69" t="s">
        <v>85</v>
      </c>
      <c r="C38" s="68" t="str">
        <f>IF(OR('ОЛ ПКУ'!C10="2ТТ и 2ТН",'ОЛ ПКУ'!C10="3ТТ и 2ТН")," ","ЗНОЛП_10")</f>
        <v>ЗНОЛП_10</v>
      </c>
      <c r="D38" s="68" t="str">
        <f>IF(OR('ОЛ ПКУ'!C10="2ТТ и 2ТН",'ОЛ ПКУ'!C10="3ТТ и 2ТН"),"НОЛП_10","")</f>
        <v/>
      </c>
      <c r="E38" s="68" t="str">
        <f>IF(OR('ОЛ ПКУ'!C10="2ТТ и 2ТН",'ОЛ ПКУ'!C10="3ТТ и 2ТН")," ","НОЛ.08_10М")</f>
        <v>НОЛ.08_10М</v>
      </c>
      <c r="F38" s="48"/>
      <c r="G38" s="48"/>
      <c r="H38" s="48"/>
      <c r="I38" s="48"/>
      <c r="J38" s="45"/>
      <c r="K38" s="45"/>
      <c r="L38" s="48"/>
      <c r="M38" s="48"/>
      <c r="N38" s="48"/>
      <c r="O38" s="48"/>
      <c r="P38" s="45"/>
      <c r="Q38" s="45"/>
      <c r="R38" s="48"/>
      <c r="S38" s="48"/>
      <c r="T38" s="48"/>
      <c r="U38" s="48"/>
      <c r="V38" s="45"/>
      <c r="W38" s="45"/>
      <c r="X38" s="48"/>
      <c r="Y38" s="48"/>
      <c r="Z38" s="48"/>
      <c r="AA38" s="48"/>
      <c r="AB38" s="45"/>
      <c r="AC38" s="45"/>
      <c r="AD38" s="48"/>
      <c r="AE38" s="41"/>
      <c r="AF38" s="41"/>
      <c r="AG38" s="41"/>
      <c r="AH38" s="39"/>
      <c r="AI38" s="39"/>
      <c r="AJ38" s="41"/>
      <c r="AK38" s="41"/>
      <c r="AL38" s="41"/>
      <c r="AM38" s="41"/>
      <c r="AN38" s="39"/>
    </row>
    <row r="39" spans="1:40" ht="14.4" customHeight="1" x14ac:dyDescent="0.25">
      <c r="F39" s="48"/>
      <c r="G39" s="48"/>
      <c r="H39" s="48"/>
      <c r="I39" s="48"/>
      <c r="J39" s="45"/>
      <c r="K39" s="45"/>
      <c r="L39" s="48"/>
      <c r="M39" s="48"/>
      <c r="N39" s="48"/>
      <c r="O39" s="48"/>
      <c r="P39" s="45"/>
      <c r="Q39" s="45"/>
      <c r="R39" s="48"/>
      <c r="S39" s="48"/>
      <c r="T39" s="48"/>
      <c r="U39" s="48"/>
      <c r="V39" s="45"/>
      <c r="W39" s="45"/>
      <c r="X39" s="48"/>
      <c r="Y39" s="48"/>
      <c r="Z39" s="48"/>
      <c r="AA39" s="48"/>
      <c r="AB39" s="45"/>
      <c r="AC39" s="45"/>
      <c r="AD39" s="48"/>
      <c r="AE39" s="41"/>
      <c r="AF39" s="41"/>
      <c r="AG39" s="41"/>
      <c r="AH39" s="39"/>
      <c r="AI39" s="39"/>
      <c r="AJ39" s="41"/>
      <c r="AK39" s="41"/>
      <c r="AL39" s="41"/>
      <c r="AM39" s="41"/>
      <c r="AN39" s="39"/>
    </row>
    <row r="40" spans="1:40" ht="14.4" customHeight="1" x14ac:dyDescent="0.25">
      <c r="B40" s="71" t="s">
        <v>92</v>
      </c>
      <c r="C40" s="48"/>
      <c r="D40" s="45"/>
      <c r="E40" s="45"/>
      <c r="F40" s="48"/>
      <c r="G40" s="48"/>
      <c r="H40" s="48"/>
      <c r="I40" s="48"/>
      <c r="J40" s="45"/>
      <c r="K40" s="45"/>
      <c r="L40" s="48"/>
      <c r="M40" s="48"/>
      <c r="N40" s="48"/>
      <c r="O40" s="48"/>
      <c r="P40" s="45"/>
      <c r="Q40" s="45"/>
      <c r="R40" s="48"/>
      <c r="S40" s="48"/>
      <c r="T40" s="48"/>
      <c r="U40" s="48"/>
      <c r="V40" s="45"/>
      <c r="W40" s="45"/>
      <c r="X40" s="48"/>
      <c r="Y40" s="48"/>
      <c r="Z40" s="48"/>
      <c r="AA40" s="48"/>
      <c r="AB40" s="45"/>
      <c r="AC40" s="45"/>
      <c r="AD40" s="48"/>
      <c r="AE40" s="41"/>
      <c r="AF40" s="41"/>
      <c r="AG40" s="41"/>
      <c r="AH40" s="39"/>
      <c r="AI40" s="39"/>
      <c r="AJ40" s="41"/>
      <c r="AK40" s="41"/>
      <c r="AL40" s="41"/>
      <c r="AM40" s="41"/>
      <c r="AN40" s="39"/>
    </row>
    <row r="41" spans="1:40" ht="14.4" customHeight="1" x14ac:dyDescent="0.25">
      <c r="B41" s="72" t="s">
        <v>93</v>
      </c>
      <c r="C41" s="75">
        <v>0.2</v>
      </c>
      <c r="D41" s="75">
        <v>0.5</v>
      </c>
      <c r="E41" s="75">
        <v>1</v>
      </c>
      <c r="F41" s="75">
        <v>3</v>
      </c>
      <c r="H41" s="75">
        <v>0.2</v>
      </c>
      <c r="I41" s="75">
        <v>0.5</v>
      </c>
      <c r="J41" s="75">
        <v>1</v>
      </c>
      <c r="K41" s="75">
        <v>3</v>
      </c>
      <c r="N41" s="48"/>
      <c r="O41" s="48"/>
      <c r="P41" s="45"/>
      <c r="Q41" s="45"/>
      <c r="R41" s="48"/>
      <c r="S41" s="48"/>
      <c r="T41" s="48"/>
      <c r="U41" s="48"/>
      <c r="V41" s="45"/>
      <c r="W41" s="45"/>
      <c r="X41" s="48"/>
      <c r="Y41" s="48"/>
      <c r="Z41" s="48"/>
      <c r="AA41" s="48"/>
      <c r="AB41" s="45"/>
      <c r="AC41" s="45"/>
      <c r="AD41" s="48"/>
      <c r="AE41" s="41"/>
      <c r="AF41" s="41"/>
      <c r="AG41" s="41"/>
      <c r="AH41" s="39"/>
      <c r="AI41" s="39"/>
      <c r="AJ41" s="41"/>
      <c r="AK41" s="41"/>
      <c r="AL41" s="41"/>
      <c r="AM41" s="41"/>
      <c r="AN41" s="39"/>
    </row>
    <row r="42" spans="1:40" ht="14.4" customHeight="1" x14ac:dyDescent="0.25">
      <c r="B42" s="68" t="s">
        <v>89</v>
      </c>
      <c r="C42" s="76">
        <v>50</v>
      </c>
      <c r="D42" s="76">
        <v>75</v>
      </c>
      <c r="E42" s="76">
        <v>150</v>
      </c>
      <c r="F42" s="76">
        <v>300</v>
      </c>
      <c r="G42" s="77"/>
      <c r="H42" s="73"/>
      <c r="I42" s="73"/>
      <c r="J42" s="74"/>
      <c r="K42" s="74">
        <v>300</v>
      </c>
      <c r="L42" s="73">
        <v>630</v>
      </c>
      <c r="M42" s="73"/>
      <c r="N42" s="48"/>
      <c r="O42" s="48"/>
      <c r="P42" s="45"/>
      <c r="Q42" s="45"/>
      <c r="R42" s="48"/>
      <c r="S42" s="48"/>
      <c r="T42" s="48"/>
      <c r="U42" s="48"/>
      <c r="V42" s="45"/>
      <c r="W42" s="45"/>
      <c r="X42" s="48"/>
      <c r="Y42" s="48"/>
      <c r="Z42" s="48"/>
      <c r="AA42" s="48"/>
      <c r="AB42" s="45"/>
      <c r="AC42" s="45"/>
      <c r="AD42" s="48"/>
      <c r="AE42" s="41"/>
      <c r="AF42" s="41"/>
      <c r="AG42" s="41"/>
      <c r="AH42" s="39"/>
      <c r="AI42" s="39"/>
      <c r="AJ42" s="41"/>
      <c r="AK42" s="41"/>
      <c r="AL42" s="41"/>
      <c r="AM42" s="41"/>
      <c r="AN42" s="39"/>
    </row>
    <row r="43" spans="1:40" ht="14.4" customHeight="1" x14ac:dyDescent="0.25">
      <c r="B43" s="68" t="s">
        <v>86</v>
      </c>
      <c r="C43" s="76">
        <v>30</v>
      </c>
      <c r="D43" s="76">
        <v>50</v>
      </c>
      <c r="E43" s="76">
        <v>75</v>
      </c>
      <c r="F43" s="76">
        <v>200</v>
      </c>
      <c r="G43" s="77"/>
      <c r="H43" s="73"/>
      <c r="I43" s="73"/>
      <c r="J43" s="74"/>
      <c r="K43" s="74">
        <v>200</v>
      </c>
      <c r="L43" s="73">
        <v>400</v>
      </c>
      <c r="M43" s="73"/>
      <c r="N43" s="48"/>
      <c r="O43" s="48"/>
      <c r="P43" s="45"/>
      <c r="Q43" s="45"/>
      <c r="R43" s="48"/>
      <c r="S43" s="48"/>
      <c r="T43" s="48"/>
      <c r="U43" s="48"/>
      <c r="V43" s="45"/>
      <c r="W43" s="45"/>
      <c r="X43" s="48"/>
      <c r="Y43" s="48"/>
      <c r="Z43" s="48"/>
      <c r="AA43" s="48"/>
      <c r="AB43" s="45"/>
      <c r="AC43" s="45"/>
      <c r="AD43" s="48"/>
      <c r="AE43" s="41"/>
      <c r="AF43" s="41"/>
      <c r="AG43" s="41"/>
      <c r="AH43" s="39"/>
      <c r="AI43" s="39"/>
      <c r="AJ43" s="41"/>
      <c r="AK43" s="41"/>
      <c r="AL43" s="41"/>
      <c r="AM43" s="41"/>
      <c r="AN43" s="39"/>
    </row>
    <row r="44" spans="1:40" ht="14.4" customHeight="1" x14ac:dyDescent="0.25">
      <c r="B44" s="68" t="s">
        <v>91</v>
      </c>
      <c r="C44" s="76">
        <v>30</v>
      </c>
      <c r="D44" s="76">
        <v>50</v>
      </c>
      <c r="E44" s="76">
        <v>75</v>
      </c>
      <c r="F44" s="76">
        <v>200</v>
      </c>
      <c r="G44" s="77"/>
      <c r="H44" s="73"/>
      <c r="I44" s="73"/>
      <c r="J44" s="74"/>
      <c r="K44" s="74"/>
      <c r="L44" s="73">
        <v>400</v>
      </c>
      <c r="M44" s="73"/>
      <c r="N44" s="48"/>
      <c r="O44" s="48"/>
      <c r="P44" s="45"/>
      <c r="Q44" s="45"/>
      <c r="R44" s="48"/>
      <c r="S44" s="48"/>
      <c r="T44" s="48"/>
      <c r="U44" s="48"/>
      <c r="V44" s="45"/>
      <c r="W44" s="45"/>
      <c r="X44" s="48"/>
      <c r="Y44" s="48"/>
      <c r="Z44" s="48"/>
      <c r="AA44" s="48"/>
      <c r="AB44" s="45"/>
      <c r="AC44" s="45"/>
      <c r="AD44" s="48"/>
      <c r="AE44" s="41"/>
      <c r="AF44" s="41"/>
      <c r="AG44" s="41"/>
      <c r="AH44" s="39"/>
      <c r="AI44" s="39"/>
      <c r="AJ44" s="41"/>
      <c r="AK44" s="41"/>
      <c r="AL44" s="41"/>
      <c r="AM44" s="41"/>
      <c r="AN44" s="39"/>
    </row>
    <row r="45" spans="1:40" ht="14.4" customHeight="1" x14ac:dyDescent="0.25">
      <c r="B45" s="68" t="s">
        <v>88</v>
      </c>
      <c r="C45" s="76">
        <v>20</v>
      </c>
      <c r="D45" s="76">
        <v>50</v>
      </c>
      <c r="E45" s="76">
        <v>75</v>
      </c>
      <c r="F45" s="76">
        <v>150</v>
      </c>
      <c r="G45" s="77"/>
      <c r="H45" s="73"/>
      <c r="I45" s="73"/>
      <c r="J45" s="74"/>
      <c r="K45" s="74"/>
      <c r="L45" s="79">
        <v>400</v>
      </c>
      <c r="M45" s="73"/>
      <c r="N45" s="48"/>
      <c r="O45" s="48"/>
      <c r="P45" s="45"/>
      <c r="Q45" s="45"/>
      <c r="R45" s="48"/>
      <c r="S45" s="48"/>
      <c r="T45" s="48"/>
      <c r="U45" s="48"/>
      <c r="V45" s="45"/>
      <c r="W45" s="45"/>
      <c r="X45" s="48"/>
      <c r="Y45" s="48"/>
      <c r="Z45" s="48"/>
      <c r="AA45" s="48"/>
      <c r="AB45" s="45"/>
      <c r="AC45" s="45"/>
      <c r="AD45" s="48"/>
      <c r="AE45" s="41"/>
      <c r="AF45" s="41"/>
      <c r="AG45" s="41"/>
      <c r="AH45" s="39"/>
      <c r="AI45" s="39"/>
      <c r="AJ45" s="41"/>
      <c r="AK45" s="41"/>
      <c r="AL45" s="41"/>
      <c r="AM45" s="41"/>
      <c r="AN45" s="39"/>
    </row>
    <row r="46" spans="1:40" ht="14.4" customHeight="1" x14ac:dyDescent="0.25">
      <c r="B46" s="68" t="s">
        <v>90</v>
      </c>
      <c r="C46" s="76">
        <v>50</v>
      </c>
      <c r="D46" s="76">
        <v>75</v>
      </c>
      <c r="E46" s="76">
        <v>150</v>
      </c>
      <c r="F46" s="76">
        <v>300</v>
      </c>
      <c r="G46" s="77"/>
      <c r="H46" s="73"/>
      <c r="I46" s="73"/>
      <c r="J46" s="74"/>
      <c r="K46" s="74"/>
      <c r="L46" s="73">
        <v>630</v>
      </c>
      <c r="M46" s="73"/>
      <c r="N46" s="48"/>
      <c r="O46" s="48"/>
      <c r="P46" s="45"/>
      <c r="Q46" s="45"/>
      <c r="R46" s="48"/>
      <c r="S46" s="48"/>
      <c r="T46" s="48"/>
      <c r="U46" s="48"/>
      <c r="V46" s="45"/>
      <c r="W46" s="45"/>
      <c r="X46" s="48"/>
      <c r="Y46" s="48"/>
      <c r="Z46" s="48"/>
      <c r="AA46" s="48"/>
      <c r="AB46" s="45"/>
      <c r="AC46" s="45"/>
      <c r="AD46" s="48"/>
      <c r="AE46" s="41"/>
      <c r="AF46" s="41"/>
      <c r="AG46" s="41"/>
      <c r="AH46" s="39"/>
      <c r="AI46" s="39"/>
      <c r="AJ46" s="41"/>
      <c r="AK46" s="41"/>
      <c r="AL46" s="41"/>
      <c r="AM46" s="41"/>
      <c r="AN46" s="39"/>
    </row>
    <row r="47" spans="1:40" ht="14.4" customHeight="1" x14ac:dyDescent="0.25">
      <c r="B47" s="68" t="s">
        <v>87</v>
      </c>
      <c r="C47" s="76">
        <v>30</v>
      </c>
      <c r="D47" s="76">
        <v>50</v>
      </c>
      <c r="E47" s="76">
        <v>75</v>
      </c>
      <c r="F47" s="76">
        <v>200</v>
      </c>
      <c r="G47" s="77"/>
      <c r="H47" s="73"/>
      <c r="I47" s="73"/>
      <c r="J47" s="74"/>
      <c r="K47" s="74"/>
      <c r="L47" s="73">
        <v>400</v>
      </c>
      <c r="M47" s="73"/>
      <c r="N47" s="48"/>
      <c r="O47" s="48"/>
      <c r="P47" s="45"/>
      <c r="Q47" s="45"/>
      <c r="R47" s="48"/>
      <c r="S47" s="48"/>
      <c r="T47" s="48"/>
      <c r="U47" s="48"/>
      <c r="V47" s="45"/>
      <c r="W47" s="45"/>
      <c r="X47" s="48"/>
      <c r="Y47" s="48"/>
      <c r="Z47" s="48"/>
      <c r="AA47" s="48"/>
      <c r="AB47" s="45"/>
      <c r="AC47" s="45"/>
      <c r="AD47" s="48"/>
      <c r="AE47" s="41"/>
      <c r="AF47" s="41"/>
      <c r="AG47" s="41"/>
      <c r="AH47" s="39"/>
      <c r="AI47" s="39"/>
      <c r="AJ47" s="41"/>
      <c r="AK47" s="41"/>
      <c r="AL47" s="41"/>
      <c r="AM47" s="41"/>
      <c r="AN47" s="39"/>
    </row>
    <row r="48" spans="1:40" ht="34.200000000000003" customHeight="1" x14ac:dyDescent="0.25">
      <c r="B48" s="48"/>
      <c r="C48" s="232" t="s">
        <v>74</v>
      </c>
      <c r="D48" s="233"/>
      <c r="E48" s="233"/>
      <c r="F48" s="233"/>
      <c r="G48" s="48"/>
      <c r="H48" s="232" t="s">
        <v>75</v>
      </c>
      <c r="I48" s="233"/>
      <c r="J48" s="233"/>
      <c r="K48" s="233"/>
      <c r="L48" s="78" t="s">
        <v>76</v>
      </c>
      <c r="M48" s="48"/>
      <c r="N48" s="48"/>
      <c r="O48" s="48"/>
      <c r="P48" s="45"/>
      <c r="Q48" s="45"/>
      <c r="R48" s="48"/>
      <c r="S48" s="48"/>
      <c r="T48" s="48"/>
      <c r="U48" s="48"/>
      <c r="V48" s="45"/>
      <c r="W48" s="45"/>
      <c r="X48" s="48"/>
      <c r="Y48" s="48"/>
      <c r="Z48" s="48"/>
      <c r="AA48" s="48"/>
      <c r="AB48" s="45"/>
      <c r="AC48" s="45"/>
      <c r="AD48" s="48"/>
      <c r="AE48" s="41"/>
      <c r="AF48" s="41"/>
      <c r="AG48" s="41"/>
      <c r="AH48" s="39"/>
      <c r="AI48" s="39"/>
      <c r="AJ48" s="41"/>
      <c r="AK48" s="41"/>
      <c r="AL48" s="41"/>
      <c r="AM48" s="41"/>
      <c r="AN48" s="39"/>
    </row>
    <row r="49" spans="2:40" ht="18.600000000000001" customHeight="1" x14ac:dyDescent="0.25">
      <c r="B49" s="48"/>
      <c r="C49" s="83"/>
      <c r="D49" s="84"/>
      <c r="E49" s="84"/>
      <c r="F49" s="84"/>
      <c r="G49" s="48"/>
      <c r="H49" s="83"/>
      <c r="I49" s="84"/>
      <c r="J49" s="84"/>
      <c r="K49" s="84"/>
      <c r="L49" s="85"/>
      <c r="M49" s="48"/>
      <c r="N49" s="48"/>
      <c r="O49" s="48"/>
      <c r="P49" s="45"/>
      <c r="Q49" s="45"/>
      <c r="R49" s="48"/>
      <c r="S49" s="48"/>
      <c r="T49" s="48"/>
      <c r="U49" s="48"/>
      <c r="V49" s="45"/>
      <c r="W49" s="45"/>
      <c r="X49" s="48"/>
      <c r="Y49" s="48"/>
      <c r="Z49" s="48"/>
      <c r="AA49" s="48"/>
      <c r="AB49" s="45"/>
      <c r="AC49" s="45"/>
      <c r="AD49" s="48"/>
      <c r="AE49" s="41"/>
      <c r="AF49" s="41"/>
      <c r="AG49" s="41"/>
      <c r="AH49" s="39"/>
      <c r="AI49" s="39"/>
      <c r="AJ49" s="41"/>
      <c r="AK49" s="41"/>
      <c r="AL49" s="41"/>
      <c r="AM49" s="41"/>
      <c r="AN49" s="39"/>
    </row>
    <row r="50" spans="2:40" ht="14.4" customHeight="1" x14ac:dyDescent="0.25">
      <c r="B50" s="61" t="s">
        <v>99</v>
      </c>
      <c r="C50" s="61"/>
      <c r="D50" s="45"/>
      <c r="E50" s="45"/>
      <c r="F50" s="48"/>
      <c r="G50" s="48"/>
      <c r="H50" s="48"/>
      <c r="I50" s="48"/>
      <c r="J50" s="45"/>
      <c r="K50" s="45"/>
      <c r="L50" s="48"/>
      <c r="M50" s="48"/>
      <c r="N50" s="48"/>
      <c r="O50" s="48"/>
      <c r="P50" s="45"/>
      <c r="Q50" s="45"/>
      <c r="R50" s="48"/>
      <c r="S50" s="48"/>
      <c r="T50" s="48"/>
      <c r="U50" s="48"/>
      <c r="V50" s="45"/>
      <c r="W50" s="45"/>
      <c r="X50" s="48"/>
      <c r="Y50" s="48"/>
      <c r="Z50" s="48"/>
      <c r="AA50" s="48"/>
      <c r="AB50" s="45"/>
      <c r="AC50" s="45"/>
      <c r="AD50" s="48"/>
      <c r="AE50" s="41"/>
      <c r="AF50" s="41"/>
      <c r="AG50" s="41"/>
      <c r="AH50" s="39"/>
      <c r="AI50" s="39"/>
      <c r="AJ50" s="41"/>
      <c r="AK50" s="41"/>
      <c r="AL50" s="41"/>
      <c r="AM50" s="41"/>
      <c r="AN50" s="39"/>
    </row>
    <row r="51" spans="2:40" ht="14.4" customHeight="1" x14ac:dyDescent="0.25">
      <c r="B51" s="73" t="s">
        <v>96</v>
      </c>
      <c r="C51" s="73" t="s">
        <v>97</v>
      </c>
      <c r="D51" s="73" t="s">
        <v>98</v>
      </c>
      <c r="E51" s="45"/>
      <c r="F51" s="48"/>
      <c r="G51" s="48"/>
      <c r="H51" s="48"/>
      <c r="I51" s="48"/>
      <c r="J51" s="45"/>
      <c r="K51" s="45"/>
      <c r="L51" s="48"/>
      <c r="M51" s="48"/>
      <c r="N51" s="48"/>
      <c r="O51" s="48"/>
      <c r="P51" s="45"/>
      <c r="Q51" s="45"/>
      <c r="R51" s="48"/>
      <c r="S51" s="48"/>
      <c r="T51" s="48"/>
      <c r="U51" s="48"/>
      <c r="V51" s="45"/>
      <c r="W51" s="45"/>
      <c r="X51" s="48"/>
      <c r="Y51" s="48"/>
      <c r="Z51" s="48"/>
      <c r="AA51" s="48"/>
      <c r="AB51" s="45"/>
      <c r="AC51" s="45"/>
      <c r="AD51" s="48"/>
      <c r="AE51" s="41"/>
      <c r="AF51" s="41"/>
      <c r="AG51" s="41"/>
      <c r="AH51" s="39"/>
      <c r="AI51" s="39"/>
      <c r="AJ51" s="41"/>
      <c r="AK51" s="41"/>
      <c r="AL51" s="41"/>
      <c r="AM51" s="41"/>
      <c r="AN51" s="39"/>
    </row>
    <row r="52" spans="2:40" ht="14.4" customHeight="1" x14ac:dyDescent="0.25">
      <c r="B52" s="73">
        <v>5</v>
      </c>
      <c r="C52" s="73">
        <v>0.4</v>
      </c>
      <c r="D52" s="73">
        <v>1</v>
      </c>
    </row>
    <row r="53" spans="2:40" ht="14.4" customHeight="1" x14ac:dyDescent="0.25">
      <c r="B53" s="74">
        <v>10</v>
      </c>
      <c r="C53" s="74">
        <v>0.96</v>
      </c>
      <c r="D53" s="74">
        <v>2.4</v>
      </c>
    </row>
    <row r="54" spans="2:40" ht="14.4" customHeight="1" x14ac:dyDescent="0.25">
      <c r="B54" s="74">
        <v>15</v>
      </c>
      <c r="C54" s="74">
        <v>0.96</v>
      </c>
      <c r="D54" s="74">
        <v>2.4</v>
      </c>
    </row>
    <row r="55" spans="2:40" ht="14.4" customHeight="1" x14ac:dyDescent="0.25">
      <c r="B55" s="73">
        <v>20</v>
      </c>
      <c r="C55" s="73">
        <v>1.2</v>
      </c>
      <c r="D55" s="73">
        <v>3</v>
      </c>
    </row>
    <row r="56" spans="2:40" ht="14.4" customHeight="1" x14ac:dyDescent="0.25">
      <c r="B56" s="73">
        <v>30</v>
      </c>
      <c r="C56" s="73">
        <v>1.9</v>
      </c>
      <c r="D56" s="73">
        <v>4.8</v>
      </c>
    </row>
    <row r="57" spans="2:40" ht="14.4" customHeight="1" x14ac:dyDescent="0.25">
      <c r="B57" s="73">
        <v>40</v>
      </c>
      <c r="C57" s="73">
        <v>2.5</v>
      </c>
      <c r="D57" s="73">
        <v>6.2</v>
      </c>
    </row>
    <row r="58" spans="2:40" ht="14.4" customHeight="1" x14ac:dyDescent="0.25">
      <c r="B58" s="73">
        <v>50</v>
      </c>
      <c r="C58" s="73">
        <v>10</v>
      </c>
      <c r="D58" s="73">
        <v>25.5</v>
      </c>
    </row>
    <row r="59" spans="2:40" ht="14.4" customHeight="1" x14ac:dyDescent="0.25">
      <c r="B59" s="74">
        <v>75</v>
      </c>
      <c r="C59" s="74">
        <v>10</v>
      </c>
      <c r="D59" s="74">
        <v>25.5</v>
      </c>
    </row>
    <row r="60" spans="2:40" ht="14.4" customHeight="1" x14ac:dyDescent="0.25">
      <c r="B60" s="74">
        <v>80</v>
      </c>
      <c r="C60" s="74">
        <v>10</v>
      </c>
      <c r="D60" s="82">
        <v>25.5</v>
      </c>
    </row>
    <row r="61" spans="2:40" ht="14.4" customHeight="1" x14ac:dyDescent="0.25">
      <c r="B61" s="73">
        <v>100</v>
      </c>
      <c r="C61" s="73">
        <v>10</v>
      </c>
      <c r="D61" s="73">
        <v>25.5</v>
      </c>
    </row>
    <row r="62" spans="2:40" ht="14.4" customHeight="1" x14ac:dyDescent="0.25">
      <c r="B62" s="73">
        <v>150</v>
      </c>
      <c r="C62" s="73">
        <v>12.5</v>
      </c>
      <c r="D62" s="73">
        <v>31.8</v>
      </c>
    </row>
    <row r="63" spans="2:40" ht="14.4" customHeight="1" x14ac:dyDescent="0.25">
      <c r="B63" s="73">
        <v>200</v>
      </c>
      <c r="C63" s="73">
        <v>20</v>
      </c>
      <c r="D63" s="73">
        <v>51</v>
      </c>
    </row>
    <row r="64" spans="2:40" ht="14.4" customHeight="1" x14ac:dyDescent="0.25">
      <c r="B64" s="73">
        <v>300</v>
      </c>
      <c r="C64" s="73">
        <v>20</v>
      </c>
      <c r="D64" s="73">
        <v>51</v>
      </c>
    </row>
    <row r="65" spans="1:6" ht="14.4" customHeight="1" x14ac:dyDescent="0.25">
      <c r="B65" s="74">
        <v>400</v>
      </c>
      <c r="C65" s="74">
        <v>32</v>
      </c>
      <c r="D65" s="74">
        <v>81.7</v>
      </c>
    </row>
    <row r="66" spans="1:6" ht="14.4" customHeight="1" x14ac:dyDescent="0.25">
      <c r="B66" s="74">
        <v>500</v>
      </c>
      <c r="C66" s="74">
        <v>32</v>
      </c>
      <c r="D66" s="74">
        <v>81.7</v>
      </c>
    </row>
    <row r="67" spans="1:6" ht="14.4" customHeight="1" x14ac:dyDescent="0.25">
      <c r="B67" s="73">
        <v>600</v>
      </c>
      <c r="C67" s="73">
        <v>40</v>
      </c>
      <c r="D67" s="73">
        <v>102</v>
      </c>
    </row>
    <row r="68" spans="1:6" ht="14.4" customHeight="1" x14ac:dyDescent="0.25">
      <c r="B68" s="73">
        <v>750</v>
      </c>
      <c r="C68" s="73">
        <v>50</v>
      </c>
      <c r="D68" s="73">
        <v>125</v>
      </c>
    </row>
    <row r="69" spans="1:6" ht="14.4" customHeight="1" x14ac:dyDescent="0.25">
      <c r="B69" s="73">
        <v>800</v>
      </c>
      <c r="C69" s="73">
        <v>50</v>
      </c>
      <c r="D69" s="73">
        <v>125</v>
      </c>
    </row>
    <row r="70" spans="1:6" ht="14.4" customHeight="1" x14ac:dyDescent="0.25">
      <c r="B70" s="73">
        <v>1000</v>
      </c>
      <c r="C70" s="73">
        <v>50</v>
      </c>
      <c r="D70" s="73">
        <v>125</v>
      </c>
    </row>
    <row r="74" spans="1:6" ht="14.4" customHeight="1" x14ac:dyDescent="0.25">
      <c r="A74" s="87" t="s">
        <v>55</v>
      </c>
      <c r="B74" s="43" t="s">
        <v>0</v>
      </c>
      <c r="C74" s="43" t="s">
        <v>1</v>
      </c>
    </row>
    <row r="77" spans="1:6" ht="21" x14ac:dyDescent="0.4">
      <c r="A77" s="88" t="s">
        <v>104</v>
      </c>
    </row>
    <row r="78" spans="1:6" ht="14.4" customHeight="1" x14ac:dyDescent="0.25">
      <c r="B78" s="92" t="s">
        <v>105</v>
      </c>
      <c r="C78" s="92" t="s">
        <v>112</v>
      </c>
      <c r="D78" s="92" t="s">
        <v>93</v>
      </c>
      <c r="E78" s="92" t="s">
        <v>106</v>
      </c>
      <c r="F78" s="92" t="s">
        <v>120</v>
      </c>
    </row>
    <row r="79" spans="1:6" ht="14.4" customHeight="1" x14ac:dyDescent="0.25">
      <c r="B79" s="91"/>
      <c r="C79" s="91"/>
      <c r="D79" s="91"/>
      <c r="E79" s="91"/>
      <c r="F79" s="72"/>
    </row>
    <row r="80" spans="1:6" ht="14.4" customHeight="1" x14ac:dyDescent="0.3">
      <c r="B80" s="89">
        <v>1</v>
      </c>
      <c r="C80" s="90" t="s">
        <v>113</v>
      </c>
      <c r="D80" s="90" t="s">
        <v>107</v>
      </c>
      <c r="E80" s="90" t="s">
        <v>108</v>
      </c>
      <c r="F80" s="72" t="str">
        <f>IF(AND(OR('ОЛ ПКУ'!C15="НОЛП_10",'ОЛ ПКУ'!C15="НОЛП_6"),'ОЛ ПКУ'!O10=2,'ОЛ ПКУ'!N10=2), "ПКУ-10-Н-2","")</f>
        <v/>
      </c>
    </row>
    <row r="81" spans="1:14" ht="14.4" customHeight="1" x14ac:dyDescent="0.3">
      <c r="B81" s="89">
        <v>2</v>
      </c>
      <c r="C81" s="90" t="s">
        <v>114</v>
      </c>
      <c r="D81" s="90" t="s">
        <v>109</v>
      </c>
      <c r="E81" s="90" t="s">
        <v>108</v>
      </c>
      <c r="F81" s="72" t="str">
        <f>IF(AND(OR('ОЛ ПКУ'!C15="ЗНОЛП_10",'ОЛ ПКУ'!C15="ЗНОЛП_6"),'ОЛ ПКУ'!O10=3,'ОЛ ПКУ'!N10=2), "ПКУ-10-3Н-2","")</f>
        <v/>
      </c>
    </row>
    <row r="82" spans="1:14" ht="14.4" customHeight="1" x14ac:dyDescent="0.3">
      <c r="B82" s="89">
        <v>3</v>
      </c>
      <c r="C82" s="90" t="s">
        <v>115</v>
      </c>
      <c r="D82" s="90" t="s">
        <v>110</v>
      </c>
      <c r="E82" s="90" t="s">
        <v>108</v>
      </c>
      <c r="F82" s="72" t="str">
        <f>IF(AND(OR('ОЛ ПКУ'!C15="НОЛ.08_10М",'ОЛ ПКУ'!C15="НОЛ.08_6М"),'ОЛ ПКУ'!O10=3,'ОЛ ПКУ'!N10=2), "ПКУ-10-НОЛ.08-2","")</f>
        <v/>
      </c>
    </row>
    <row r="83" spans="1:14" ht="14.4" customHeight="1" x14ac:dyDescent="0.3">
      <c r="B83" s="89">
        <v>4</v>
      </c>
      <c r="C83" s="90" t="s">
        <v>116</v>
      </c>
      <c r="D83" s="90" t="s">
        <v>107</v>
      </c>
      <c r="E83" s="90" t="s">
        <v>111</v>
      </c>
      <c r="F83" s="72" t="str">
        <f>IF(AND(OR('ОЛ ПКУ'!C15="НОЛП_10",'ОЛ ПКУ'!C15="НОЛП_6"),'ОЛ ПКУ'!O10=2,'ОЛ ПКУ'!N10=3), "ПКУ-10-Н-3","")</f>
        <v/>
      </c>
    </row>
    <row r="84" spans="1:14" ht="14.4" customHeight="1" x14ac:dyDescent="0.3">
      <c r="B84" s="89">
        <v>5</v>
      </c>
      <c r="C84" s="90" t="s">
        <v>117</v>
      </c>
      <c r="D84" s="90" t="s">
        <v>109</v>
      </c>
      <c r="E84" s="90" t="s">
        <v>111</v>
      </c>
      <c r="F84" s="72" t="str">
        <f>IF(AND(OR('ОЛ ПКУ'!C15="ЗНОЛП_10",'ОЛ ПКУ'!C15="ЗНОЛП_6"),'ОЛ ПКУ'!O10=3,'ОЛ ПКУ'!N10=3), "ПКУ-10-3Н-3","")</f>
        <v/>
      </c>
    </row>
    <row r="85" spans="1:14" ht="14.4" customHeight="1" thickBot="1" x14ac:dyDescent="0.35">
      <c r="B85" s="89">
        <v>6</v>
      </c>
      <c r="C85" s="90" t="s">
        <v>118</v>
      </c>
      <c r="D85" s="90" t="s">
        <v>110</v>
      </c>
      <c r="E85" s="90" t="s">
        <v>111</v>
      </c>
      <c r="F85" s="72" t="str">
        <f>IF(AND(OR('ОЛ ПКУ'!C15="НОЛ.08_10М",'ОЛ ПКУ'!C15="НОЛ.08_6М"),'ОЛ ПКУ'!O10=3,'ОЛ ПКУ'!N10=3), "ПКУ-10-НОЛ.08-3","")</f>
        <v>ПКУ-10-НОЛ.08-3</v>
      </c>
    </row>
    <row r="86" spans="1:14" ht="14.4" customHeight="1" thickBot="1" x14ac:dyDescent="0.35">
      <c r="F86" s="43" t="str">
        <f>CONCATENATE(F80,F81,F82,F83,F84,F85)</f>
        <v>ПКУ-10-НОЛ.08-3</v>
      </c>
      <c r="G86" s="101" t="str">
        <f>IF(F86="","нестандартная",F86)</f>
        <v>ПКУ-10-НОЛ.08-3</v>
      </c>
      <c r="H86" s="102"/>
      <c r="I86" s="97" t="s">
        <v>121</v>
      </c>
    </row>
    <row r="88" spans="1:14" ht="21" x14ac:dyDescent="0.4">
      <c r="A88" s="88" t="s">
        <v>123</v>
      </c>
      <c r="F88" s="100"/>
    </row>
    <row r="89" spans="1:14" ht="14.4" customHeight="1" x14ac:dyDescent="0.4">
      <c r="B89" s="234" t="s">
        <v>124</v>
      </c>
      <c r="C89" s="235"/>
      <c r="D89" s="235"/>
      <c r="E89" s="235"/>
      <c r="F89" s="235"/>
      <c r="G89" s="235"/>
      <c r="H89" s="236"/>
    </row>
    <row r="90" spans="1:14" ht="78.599999999999994" customHeight="1" x14ac:dyDescent="0.45">
      <c r="B90" s="234"/>
      <c r="C90" s="103" t="s">
        <v>125</v>
      </c>
      <c r="D90" s="104" t="s">
        <v>126</v>
      </c>
      <c r="E90" s="104" t="s">
        <v>127</v>
      </c>
      <c r="F90" s="104" t="s">
        <v>128</v>
      </c>
      <c r="G90" s="104" t="s">
        <v>129</v>
      </c>
      <c r="H90" s="104" t="s">
        <v>130</v>
      </c>
      <c r="I90" s="43" t="s">
        <v>142</v>
      </c>
    </row>
    <row r="91" spans="1:14" ht="15.6" x14ac:dyDescent="0.3">
      <c r="B91" s="105" t="s">
        <v>131</v>
      </c>
      <c r="C91" s="106"/>
      <c r="D91" s="89"/>
      <c r="E91" s="89"/>
      <c r="F91" s="89"/>
      <c r="G91" s="89"/>
      <c r="H91" s="89"/>
      <c r="I91" s="113" t="str">
        <f>IF(AND('ОЛ ПКУ'!C31="Да",'ОЛ ПКУ'!C34="GSM C-1.02"),"00","")</f>
        <v/>
      </c>
      <c r="J91" s="114"/>
      <c r="K91" s="115" t="s">
        <v>143</v>
      </c>
      <c r="L91" s="112" t="str">
        <f>'ОЛ ПКУ'!C31</f>
        <v>Да</v>
      </c>
      <c r="M91" s="112"/>
      <c r="N91" s="112"/>
    </row>
    <row r="92" spans="1:14" ht="15.6" x14ac:dyDescent="0.3">
      <c r="B92" s="105" t="s">
        <v>132</v>
      </c>
      <c r="C92" s="106"/>
      <c r="D92" s="89"/>
      <c r="E92" s="89"/>
      <c r="F92" s="89"/>
      <c r="G92" s="89"/>
      <c r="H92" s="89"/>
      <c r="I92" s="113" t="str">
        <f>IF(AND('ОЛ ПКУ'!C31="Да",'ОЛ ПКУ'!C34="GSM TELEOFIS RX108-R4"),"01","")</f>
        <v/>
      </c>
      <c r="J92" s="114"/>
      <c r="K92" s="115" t="s">
        <v>144</v>
      </c>
      <c r="L92" s="112" t="str">
        <f>'ОЛ ПКУ'!C34</f>
        <v>Нет</v>
      </c>
      <c r="M92" s="112"/>
      <c r="N92" s="112"/>
    </row>
    <row r="93" spans="1:14" ht="14.4" customHeight="1" x14ac:dyDescent="0.3">
      <c r="B93" s="105" t="s">
        <v>133</v>
      </c>
      <c r="C93" s="106"/>
      <c r="D93" s="89"/>
      <c r="E93" s="89"/>
      <c r="F93" s="89"/>
      <c r="G93" s="89"/>
      <c r="H93" s="89"/>
      <c r="I93" s="113" t="str">
        <f>IF(AND('ОЛ ПКУ'!C31="Да",'ОЛ ПКУ'!C34="Встроен в счетчик"),"02","")</f>
        <v/>
      </c>
      <c r="J93" s="114"/>
    </row>
    <row r="94" spans="1:14" ht="14.4" customHeight="1" x14ac:dyDescent="0.3">
      <c r="B94" s="105" t="s">
        <v>134</v>
      </c>
      <c r="C94" s="106"/>
      <c r="D94" s="89"/>
      <c r="E94" s="89"/>
      <c r="F94" s="89"/>
      <c r="G94" s="89"/>
      <c r="H94" s="89"/>
      <c r="I94" s="113" t="str">
        <f>IF(AND('ОЛ ПКУ'!C31="Да",OR('ОЛ ПКУ'!C34="Нет",'ОЛ ПКУ'!C34="")),"03","")</f>
        <v>03</v>
      </c>
      <c r="J94" s="114"/>
    </row>
    <row r="95" spans="1:14" ht="14.4" customHeight="1" x14ac:dyDescent="0.3">
      <c r="B95" s="105" t="s">
        <v>135</v>
      </c>
      <c r="C95" s="106"/>
      <c r="D95" s="89"/>
      <c r="E95" s="89"/>
      <c r="F95" s="89"/>
      <c r="G95" s="89"/>
      <c r="H95" s="89"/>
      <c r="I95" s="113" t="str">
        <f>IF(AND('ОЛ ПКУ'!C31="Нет",OR('ОЛ ПКУ'!C34="Нет",'ОЛ ПКУ'!C34="")),"04","")</f>
        <v/>
      </c>
      <c r="J95" s="114"/>
    </row>
    <row r="96" spans="1:14" ht="14.4" customHeight="1" x14ac:dyDescent="0.3">
      <c r="B96" s="105" t="s">
        <v>139</v>
      </c>
      <c r="C96" s="106"/>
      <c r="D96" s="89"/>
      <c r="E96" s="89"/>
      <c r="F96" s="89"/>
      <c r="G96" s="89"/>
      <c r="H96" s="89"/>
      <c r="I96" s="113" t="str">
        <f>IF(AND('ОЛ ПКУ'!C31="Нет",'ОЛ ПКУ'!C34="GSM C-1.02"),"05","")</f>
        <v/>
      </c>
      <c r="J96" s="114"/>
    </row>
    <row r="97" spans="1:11" ht="15.6" x14ac:dyDescent="0.3">
      <c r="B97" s="105" t="s">
        <v>140</v>
      </c>
      <c r="C97" s="106"/>
      <c r="D97" s="89"/>
      <c r="E97" s="89"/>
      <c r="F97" s="89"/>
      <c r="G97" s="89"/>
      <c r="H97" s="89"/>
      <c r="I97" s="113" t="str">
        <f>IF(AND('ОЛ ПКУ'!C31="Нет",'ОЛ ПКУ'!C34="GSM TELEOFIS RX108-R4"),"06","")</f>
        <v/>
      </c>
      <c r="J97" s="114"/>
    </row>
    <row r="98" spans="1:11" ht="15.6" x14ac:dyDescent="0.3">
      <c r="B98" s="105" t="s">
        <v>141</v>
      </c>
      <c r="C98" s="106"/>
      <c r="D98" s="89"/>
      <c r="E98" s="89"/>
      <c r="F98" s="89"/>
      <c r="G98" s="89"/>
      <c r="H98" s="89"/>
      <c r="I98" s="113" t="str">
        <f>IF(AND('ОЛ ПКУ'!C31="Нет",'ОЛ ПКУ'!C34="Встроен в счетчик"),"07","")</f>
        <v/>
      </c>
      <c r="J98" s="114"/>
    </row>
    <row r="99" spans="1:11" ht="15.6" x14ac:dyDescent="0.3">
      <c r="B99" s="105"/>
      <c r="C99" s="106"/>
      <c r="D99" s="89"/>
      <c r="E99" s="89"/>
      <c r="F99" s="89"/>
      <c r="G99" s="89"/>
      <c r="H99" s="89"/>
      <c r="I99" s="72" t="str">
        <f>CONCATENATE(I91,I92,I93,I94,I95,I96,I97,I98)</f>
        <v>03</v>
      </c>
    </row>
    <row r="100" spans="1:11" ht="15.6" x14ac:dyDescent="0.3">
      <c r="B100" s="110"/>
      <c r="C100" s="111"/>
      <c r="D100" s="111"/>
      <c r="E100" s="111"/>
      <c r="F100" s="111"/>
      <c r="G100" s="111"/>
      <c r="H100" s="111"/>
    </row>
    <row r="101" spans="1:11" ht="14.4" customHeight="1" x14ac:dyDescent="0.3">
      <c r="B101" s="110"/>
      <c r="C101" s="111"/>
      <c r="D101" s="111"/>
      <c r="E101" s="111"/>
      <c r="F101" s="111"/>
      <c r="G101" s="111"/>
      <c r="H101" s="111"/>
    </row>
    <row r="102" spans="1:11" ht="14.4" customHeight="1" x14ac:dyDescent="0.4">
      <c r="B102"/>
      <c r="C102"/>
      <c r="D102"/>
      <c r="E102"/>
      <c r="F102" s="107" t="s">
        <v>136</v>
      </c>
      <c r="G102" t="s">
        <v>137</v>
      </c>
      <c r="H102"/>
    </row>
    <row r="103" spans="1:11" ht="14.4" customHeight="1" thickBot="1" x14ac:dyDescent="0.35">
      <c r="B103"/>
      <c r="C103"/>
      <c r="D103"/>
      <c r="E103" s="153" t="s">
        <v>231</v>
      </c>
      <c r="F103"/>
      <c r="G103" t="s">
        <v>138</v>
      </c>
      <c r="H103"/>
      <c r="K103" s="43" t="str">
        <f>RIGHT('ОЛ ПКУ'!C33,4)</f>
        <v>PВ.G</v>
      </c>
    </row>
    <row r="104" spans="1:11" ht="14.4" customHeight="1" thickBot="1" x14ac:dyDescent="0.35">
      <c r="F104" s="43" t="str">
        <f>IF(AND(I99="02",RIGHT('ОЛ ПКУ'!C33,4)="PВ.G"),"03",IF(AND(I99="07",RIGHT('ОЛ ПКУ'!C33,4)="PВ.G"),"04",IF(I99="","н/ст",I99)))</f>
        <v>03</v>
      </c>
      <c r="G104" s="101" t="str">
        <f>CONCATENATE("-",F104)</f>
        <v>-03</v>
      </c>
      <c r="H104" s="102"/>
      <c r="I104" s="97" t="s">
        <v>121</v>
      </c>
      <c r="K104" s="43" t="s">
        <v>230</v>
      </c>
    </row>
    <row r="105" spans="1:11" ht="14.4" customHeight="1" x14ac:dyDescent="0.25">
      <c r="K105" s="43" t="str">
        <f>IF(AND(I99="02",RIGHT('ОЛ ПКУ'!C33,4)="PВ.G"),"03",I99)</f>
        <v>03</v>
      </c>
    </row>
    <row r="106" spans="1:11" ht="21" x14ac:dyDescent="0.4">
      <c r="A106" s="88" t="s">
        <v>145</v>
      </c>
      <c r="C106" s="43" t="str">
        <f>F86</f>
        <v>ПКУ-10-НОЛ.08-3</v>
      </c>
      <c r="F106" s="43" t="str">
        <f>F104</f>
        <v>03</v>
      </c>
      <c r="K106" s="43" t="str">
        <f>IF(AND(I99="07",RIGHT('ОЛ ПКУ'!C33,4)="PВ.G"),"04",I99)</f>
        <v>03</v>
      </c>
    </row>
    <row r="107" spans="1:11" ht="14.4" customHeight="1" thickBot="1" x14ac:dyDescent="0.3">
      <c r="C107" s="150" t="s">
        <v>228</v>
      </c>
      <c r="F107" s="150" t="s">
        <v>225</v>
      </c>
      <c r="G107" s="150"/>
      <c r="H107" s="151" t="s">
        <v>226</v>
      </c>
    </row>
    <row r="108" spans="1:11" ht="14.4" customHeight="1" thickBot="1" x14ac:dyDescent="0.35">
      <c r="B108" s="116">
        <v>1</v>
      </c>
      <c r="C108" s="117" t="s">
        <v>206</v>
      </c>
      <c r="D108" s="118" t="s">
        <v>146</v>
      </c>
      <c r="E108" s="119" t="s">
        <v>147</v>
      </c>
      <c r="F108" s="119" t="s">
        <v>205</v>
      </c>
      <c r="G108" s="120" t="s">
        <v>112</v>
      </c>
      <c r="I108" s="72" t="s">
        <v>224</v>
      </c>
      <c r="J108" s="112"/>
    </row>
    <row r="109" spans="1:11" ht="14.4" customHeight="1" x14ac:dyDescent="0.3">
      <c r="A109" s="158" t="s">
        <v>234</v>
      </c>
      <c r="B109" s="121"/>
      <c r="C109" s="122" t="s">
        <v>149</v>
      </c>
      <c r="D109" s="121" t="s">
        <v>150</v>
      </c>
      <c r="E109" s="123" t="s">
        <v>151</v>
      </c>
      <c r="F109" s="124" t="s">
        <v>152</v>
      </c>
      <c r="G109" s="127" t="s">
        <v>154</v>
      </c>
      <c r="I109" s="149" t="str">
        <f>IF(AND(F86="ПКУ-10-Н-2",OR(F104="00",F104="01",F104="03",F104="04",F104="05",F104="06"),'ОЛ ПКУ'!K33="СЭ"),G109,"")</f>
        <v/>
      </c>
      <c r="J109" s="112"/>
      <c r="K109" s="148"/>
    </row>
    <row r="110" spans="1:11" ht="14.4" customHeight="1" x14ac:dyDescent="0.3">
      <c r="B110" s="121"/>
      <c r="C110" s="122"/>
      <c r="D110" s="121"/>
      <c r="E110" s="123"/>
      <c r="F110" s="126" t="s">
        <v>153</v>
      </c>
      <c r="G110" s="127" t="s">
        <v>156</v>
      </c>
      <c r="I110" s="149" t="str">
        <f>IF(AND(F86="ПКУ-10-Н-2",OR(F104="00",F104="01",F104="03",F104="04",F104="05",F104="06"),'ОЛ ПКУ'!K33="ПС"),G110,"")</f>
        <v/>
      </c>
      <c r="J110" s="112"/>
    </row>
    <row r="111" spans="1:11" ht="14.4" customHeight="1" x14ac:dyDescent="0.3">
      <c r="A111" s="159" t="s">
        <v>40</v>
      </c>
      <c r="B111" s="121"/>
      <c r="C111" s="122"/>
      <c r="D111" s="121"/>
      <c r="E111" s="123"/>
      <c r="F111" s="126" t="s">
        <v>155</v>
      </c>
      <c r="G111" s="127" t="s">
        <v>158</v>
      </c>
      <c r="I111" s="149" t="str">
        <f>IF(AND(F86="ПКУ-10-Н-2",OR(F104="00",F104="01",F104="03",F104="04",F104="05",F104="06"),'ОЛ ПКУ'!K33="M2"),G111,"")</f>
        <v/>
      </c>
      <c r="J111" s="112"/>
    </row>
    <row r="112" spans="1:11" ht="14.4" customHeight="1" x14ac:dyDescent="0.3">
      <c r="A112" s="159" t="s">
        <v>207</v>
      </c>
      <c r="B112" s="121"/>
      <c r="C112" s="122"/>
      <c r="D112" s="121"/>
      <c r="E112" s="123"/>
      <c r="F112" s="126" t="s">
        <v>157</v>
      </c>
      <c r="G112" s="127" t="s">
        <v>160</v>
      </c>
      <c r="I112" s="149" t="str">
        <f>IF(AND(F86="ПКУ-10-Н-2",OR(F104="00",F104="01",F104="03",F104="04",F104="05",F104="06"),'ОЛ ПКУ'!K33="СE"),G112,"")</f>
        <v/>
      </c>
      <c r="J112" s="112"/>
    </row>
    <row r="113" spans="1:10" ht="14.4" customHeight="1" x14ac:dyDescent="0.3">
      <c r="A113" s="159" t="s">
        <v>208</v>
      </c>
      <c r="B113" s="121"/>
      <c r="C113" s="122"/>
      <c r="D113" s="121"/>
      <c r="E113" s="123"/>
      <c r="F113" s="126" t="s">
        <v>159</v>
      </c>
      <c r="G113" s="147" t="s">
        <v>227</v>
      </c>
      <c r="I113" s="149" t="str">
        <f>IF(AND(F86="ПКУ-10-Н-2",OR(F104="00",F104="01",F104="03",F104="04",F104="05",F104="06"),'ОЛ ПКУ'!K33="Др"),G113,"")</f>
        <v/>
      </c>
      <c r="J113" s="112"/>
    </row>
    <row r="114" spans="1:10" ht="14.4" customHeight="1" thickBot="1" x14ac:dyDescent="0.35">
      <c r="A114" s="159" t="s">
        <v>209</v>
      </c>
      <c r="B114" s="121"/>
      <c r="C114" s="122"/>
      <c r="D114" s="121"/>
      <c r="E114" s="123"/>
      <c r="F114" s="128" t="s">
        <v>161</v>
      </c>
      <c r="G114" s="152" t="s">
        <v>229</v>
      </c>
      <c r="I114" s="149"/>
      <c r="J114" s="114"/>
    </row>
    <row r="115" spans="1:10" ht="14.4" customHeight="1" x14ac:dyDescent="0.3">
      <c r="A115" s="159" t="s">
        <v>210</v>
      </c>
      <c r="B115" s="121"/>
      <c r="C115" s="122"/>
      <c r="D115" s="121"/>
      <c r="E115" s="123"/>
      <c r="F115" s="129" t="s">
        <v>162</v>
      </c>
      <c r="G115" s="130" t="s">
        <v>163</v>
      </c>
      <c r="I115" s="149" t="str">
        <f>IF(AND(F86="ПКУ-10-Н-2",F104="02",'ОЛ ПКУ'!K33="ПС"),G115,"")</f>
        <v/>
      </c>
      <c r="J115" s="112"/>
    </row>
    <row r="116" spans="1:10" ht="14.4" customHeight="1" thickBot="1" x14ac:dyDescent="0.35">
      <c r="A116" s="159" t="s">
        <v>211</v>
      </c>
      <c r="B116" s="121"/>
      <c r="C116" s="122"/>
      <c r="D116" s="121"/>
      <c r="E116" s="123"/>
      <c r="F116" s="131" t="s">
        <v>164</v>
      </c>
      <c r="G116" s="132" t="s">
        <v>165</v>
      </c>
      <c r="I116" s="149" t="str">
        <f>IF(AND(F86="ПКУ-10-Н-2",F104="07",'ОЛ ПКУ'!K33="СЭ"),G116,"")</f>
        <v/>
      </c>
      <c r="J116" s="112"/>
    </row>
    <row r="117" spans="1:10" ht="14.4" customHeight="1" thickBot="1" x14ac:dyDescent="0.35">
      <c r="A117" s="159" t="s">
        <v>212</v>
      </c>
      <c r="B117" s="133">
        <v>2</v>
      </c>
      <c r="C117" s="117" t="s">
        <v>206</v>
      </c>
      <c r="D117" s="118" t="s">
        <v>146</v>
      </c>
      <c r="E117" s="119" t="s">
        <v>147</v>
      </c>
      <c r="F117" s="119" t="s">
        <v>205</v>
      </c>
      <c r="G117" s="134" t="s">
        <v>148</v>
      </c>
      <c r="I117" s="149"/>
    </row>
    <row r="118" spans="1:10" ht="14.4" customHeight="1" x14ac:dyDescent="0.3">
      <c r="A118" s="159" t="s">
        <v>213</v>
      </c>
      <c r="B118" s="121"/>
      <c r="C118" s="122" t="s">
        <v>166</v>
      </c>
      <c r="D118" s="121" t="s">
        <v>167</v>
      </c>
      <c r="E118" s="123" t="s">
        <v>168</v>
      </c>
      <c r="F118" s="124" t="s">
        <v>152</v>
      </c>
      <c r="G118" s="125"/>
      <c r="I118" s="149"/>
    </row>
    <row r="119" spans="1:10" ht="14.4" customHeight="1" x14ac:dyDescent="0.3">
      <c r="A119" s="159" t="s">
        <v>214</v>
      </c>
      <c r="B119" s="121"/>
      <c r="C119" s="122"/>
      <c r="D119" s="121"/>
      <c r="E119" s="123"/>
      <c r="F119" s="126" t="s">
        <v>153</v>
      </c>
      <c r="G119" s="127" t="s">
        <v>169</v>
      </c>
      <c r="I119" s="149"/>
    </row>
    <row r="120" spans="1:10" ht="14.4" customHeight="1" x14ac:dyDescent="0.3">
      <c r="A120" s="159" t="s">
        <v>215</v>
      </c>
      <c r="B120" s="121"/>
      <c r="C120" s="122"/>
      <c r="D120" s="121"/>
      <c r="E120" s="123"/>
      <c r="F120" s="126" t="s">
        <v>155</v>
      </c>
      <c r="G120" s="127" t="s">
        <v>170</v>
      </c>
      <c r="I120" s="149"/>
    </row>
    <row r="121" spans="1:10" ht="14.4" customHeight="1" x14ac:dyDescent="0.3">
      <c r="A121" s="159" t="s">
        <v>216</v>
      </c>
      <c r="B121" s="121"/>
      <c r="C121" s="122"/>
      <c r="D121" s="121"/>
      <c r="E121" s="123"/>
      <c r="F121" s="126" t="s">
        <v>157</v>
      </c>
      <c r="G121" s="127" t="s">
        <v>171</v>
      </c>
      <c r="I121" s="149"/>
    </row>
    <row r="122" spans="1:10" ht="14.4" customHeight="1" x14ac:dyDescent="0.3">
      <c r="A122" s="159" t="s">
        <v>217</v>
      </c>
      <c r="B122" s="121"/>
      <c r="C122" s="122"/>
      <c r="D122" s="121"/>
      <c r="E122" s="123"/>
      <c r="F122" s="126" t="s">
        <v>159</v>
      </c>
      <c r="G122" s="127" t="s">
        <v>172</v>
      </c>
      <c r="I122" s="149"/>
    </row>
    <row r="123" spans="1:10" ht="14.4" customHeight="1" thickBot="1" x14ac:dyDescent="0.35">
      <c r="A123" s="159" t="s">
        <v>218</v>
      </c>
      <c r="B123" s="121"/>
      <c r="C123" s="122"/>
      <c r="D123" s="121"/>
      <c r="E123" s="123"/>
      <c r="F123" s="128" t="s">
        <v>161</v>
      </c>
      <c r="G123" s="121"/>
      <c r="I123" s="149"/>
    </row>
    <row r="124" spans="1:10" ht="14.4" customHeight="1" x14ac:dyDescent="0.3">
      <c r="A124" s="159" t="s">
        <v>219</v>
      </c>
      <c r="B124" s="121"/>
      <c r="C124" s="122"/>
      <c r="D124" s="121"/>
      <c r="E124" s="123"/>
      <c r="F124" s="129" t="s">
        <v>173</v>
      </c>
      <c r="G124" s="130" t="s">
        <v>174</v>
      </c>
      <c r="I124" s="149"/>
    </row>
    <row r="125" spans="1:10" ht="14.4" customHeight="1" thickBot="1" x14ac:dyDescent="0.35">
      <c r="A125" s="159" t="s">
        <v>220</v>
      </c>
      <c r="B125" s="121"/>
      <c r="C125" s="122"/>
      <c r="D125" s="121"/>
      <c r="E125" s="123"/>
      <c r="F125" s="131" t="s">
        <v>164</v>
      </c>
      <c r="G125" s="132" t="s">
        <v>175</v>
      </c>
      <c r="I125" s="149"/>
    </row>
    <row r="126" spans="1:10" ht="14.4" customHeight="1" thickBot="1" x14ac:dyDescent="0.35">
      <c r="A126" s="159" t="s">
        <v>221</v>
      </c>
      <c r="B126" s="135">
        <v>3</v>
      </c>
      <c r="C126" s="117" t="s">
        <v>206</v>
      </c>
      <c r="D126" s="118" t="s">
        <v>146</v>
      </c>
      <c r="E126" s="119" t="s">
        <v>147</v>
      </c>
      <c r="F126" s="119" t="s">
        <v>205</v>
      </c>
      <c r="G126" s="134" t="s">
        <v>148</v>
      </c>
      <c r="I126" s="149"/>
    </row>
    <row r="127" spans="1:10" ht="14.4" customHeight="1" x14ac:dyDescent="0.3">
      <c r="A127" s="159" t="s">
        <v>222</v>
      </c>
      <c r="B127" s="121"/>
      <c r="C127" s="122" t="s">
        <v>176</v>
      </c>
      <c r="D127" s="121" t="s">
        <v>177</v>
      </c>
      <c r="E127" s="123" t="s">
        <v>178</v>
      </c>
      <c r="F127" s="124" t="s">
        <v>152</v>
      </c>
      <c r="G127" s="125"/>
      <c r="I127" s="149"/>
    </row>
    <row r="128" spans="1:10" ht="14.4" customHeight="1" x14ac:dyDescent="0.3">
      <c r="A128" s="159" t="s">
        <v>223</v>
      </c>
      <c r="B128" s="121"/>
      <c r="C128" s="122"/>
      <c r="D128" s="121"/>
      <c r="E128" s="123"/>
      <c r="F128" s="126" t="s">
        <v>153</v>
      </c>
      <c r="G128" s="127" t="s">
        <v>154</v>
      </c>
      <c r="I128" s="149"/>
    </row>
    <row r="129" spans="1:9" ht="14.4" customHeight="1" x14ac:dyDescent="0.3">
      <c r="A129" s="160" t="s">
        <v>14</v>
      </c>
      <c r="B129" s="121"/>
      <c r="C129" s="122"/>
      <c r="D129" s="121"/>
      <c r="E129" s="123"/>
      <c r="F129" s="126" t="s">
        <v>155</v>
      </c>
      <c r="G129" s="127" t="s">
        <v>156</v>
      </c>
      <c r="I129" s="149"/>
    </row>
    <row r="130" spans="1:9" ht="14.4" customHeight="1" x14ac:dyDescent="0.3">
      <c r="A130" s="160" t="s">
        <v>2</v>
      </c>
      <c r="B130" s="121"/>
      <c r="C130" s="122"/>
      <c r="D130" s="121"/>
      <c r="E130" s="123"/>
      <c r="F130" s="126" t="s">
        <v>157</v>
      </c>
      <c r="G130" s="127" t="s">
        <v>158</v>
      </c>
      <c r="I130" s="149"/>
    </row>
    <row r="131" spans="1:9" ht="14.4" customHeight="1" x14ac:dyDescent="0.3">
      <c r="B131" s="121"/>
      <c r="C131" s="122"/>
      <c r="D131" s="121"/>
      <c r="E131" s="123"/>
      <c r="F131" s="126" t="s">
        <v>159</v>
      </c>
      <c r="G131" s="127" t="s">
        <v>160</v>
      </c>
      <c r="I131" s="149"/>
    </row>
    <row r="132" spans="1:9" ht="14.4" customHeight="1" thickBot="1" x14ac:dyDescent="0.35">
      <c r="B132" s="121"/>
      <c r="C132" s="122"/>
      <c r="D132" s="121"/>
      <c r="E132" s="123"/>
      <c r="F132" s="128" t="s">
        <v>161</v>
      </c>
      <c r="G132" s="134"/>
      <c r="I132" s="149"/>
    </row>
    <row r="133" spans="1:9" ht="14.4" customHeight="1" thickBot="1" x14ac:dyDescent="0.35">
      <c r="B133" s="121"/>
      <c r="C133" s="122"/>
      <c r="D133" s="121"/>
      <c r="E133" s="123"/>
      <c r="F133" s="136" t="s">
        <v>179</v>
      </c>
      <c r="G133" s="130" t="s">
        <v>163</v>
      </c>
      <c r="I133" s="149"/>
    </row>
    <row r="134" spans="1:9" ht="14.4" customHeight="1" thickBot="1" x14ac:dyDescent="0.35">
      <c r="B134" s="121"/>
      <c r="C134" s="122"/>
      <c r="D134" s="121"/>
      <c r="E134" s="123"/>
      <c r="F134" s="137" t="s">
        <v>180</v>
      </c>
      <c r="G134" s="130" t="s">
        <v>163</v>
      </c>
      <c r="I134" s="149"/>
    </row>
    <row r="135" spans="1:9" ht="14.4" customHeight="1" thickBot="1" x14ac:dyDescent="0.35">
      <c r="B135" s="121"/>
      <c r="C135" s="122"/>
      <c r="D135" s="121"/>
      <c r="E135" s="123"/>
      <c r="F135" s="138" t="s">
        <v>181</v>
      </c>
      <c r="G135" s="139" t="s">
        <v>165</v>
      </c>
      <c r="I135" s="149"/>
    </row>
    <row r="136" spans="1:9" ht="14.4" customHeight="1" thickBot="1" x14ac:dyDescent="0.35">
      <c r="B136" s="121"/>
      <c r="C136" s="122"/>
      <c r="D136" s="121"/>
      <c r="E136" s="123"/>
      <c r="F136" s="140" t="s">
        <v>182</v>
      </c>
      <c r="G136" s="139" t="s">
        <v>165</v>
      </c>
      <c r="I136" s="149"/>
    </row>
    <row r="137" spans="1:9" ht="14.4" customHeight="1" thickBot="1" x14ac:dyDescent="0.35">
      <c r="B137" s="135">
        <v>4</v>
      </c>
      <c r="C137" s="117" t="s">
        <v>206</v>
      </c>
      <c r="D137" s="118" t="s">
        <v>146</v>
      </c>
      <c r="E137" s="119" t="s">
        <v>147</v>
      </c>
      <c r="F137" s="119" t="s">
        <v>205</v>
      </c>
      <c r="G137" s="120" t="s">
        <v>148</v>
      </c>
      <c r="I137" s="149"/>
    </row>
    <row r="138" spans="1:9" ht="14.4" customHeight="1" x14ac:dyDescent="0.3">
      <c r="B138" s="121"/>
      <c r="C138" s="122" t="s">
        <v>183</v>
      </c>
      <c r="D138" s="121" t="s">
        <v>184</v>
      </c>
      <c r="E138" s="123" t="s">
        <v>185</v>
      </c>
      <c r="F138" s="124" t="s">
        <v>152</v>
      </c>
      <c r="G138" s="125"/>
      <c r="I138" s="149"/>
    </row>
    <row r="139" spans="1:9" ht="14.4" customHeight="1" x14ac:dyDescent="0.3">
      <c r="B139" s="121"/>
      <c r="C139" s="122"/>
      <c r="D139" s="121"/>
      <c r="E139" s="123"/>
      <c r="F139" s="126" t="s">
        <v>153</v>
      </c>
      <c r="G139" s="127" t="s">
        <v>186</v>
      </c>
      <c r="I139" s="149"/>
    </row>
    <row r="140" spans="1:9" ht="14.4" customHeight="1" x14ac:dyDescent="0.3">
      <c r="B140" s="121"/>
      <c r="C140" s="122"/>
      <c r="D140" s="121"/>
      <c r="E140" s="123"/>
      <c r="F140" s="126" t="s">
        <v>155</v>
      </c>
      <c r="G140" s="127" t="s">
        <v>187</v>
      </c>
      <c r="I140" s="149"/>
    </row>
    <row r="141" spans="1:9" ht="14.4" customHeight="1" x14ac:dyDescent="0.3">
      <c r="B141" s="121"/>
      <c r="C141" s="122"/>
      <c r="D141" s="121"/>
      <c r="E141" s="123"/>
      <c r="F141" s="126" t="s">
        <v>157</v>
      </c>
      <c r="G141" s="127" t="s">
        <v>188</v>
      </c>
      <c r="I141" s="149"/>
    </row>
    <row r="142" spans="1:9" ht="14.4" customHeight="1" x14ac:dyDescent="0.3">
      <c r="B142" s="121"/>
      <c r="C142" s="122"/>
      <c r="D142" s="121"/>
      <c r="E142" s="123"/>
      <c r="F142" s="126" t="s">
        <v>159</v>
      </c>
      <c r="G142" s="127" t="s">
        <v>189</v>
      </c>
      <c r="I142" s="149"/>
    </row>
    <row r="143" spans="1:9" ht="14.4" customHeight="1" thickBot="1" x14ac:dyDescent="0.35">
      <c r="B143" s="121"/>
      <c r="C143" s="122"/>
      <c r="D143" s="121"/>
      <c r="E143" s="123"/>
      <c r="F143" s="128" t="s">
        <v>161</v>
      </c>
      <c r="G143" s="121"/>
      <c r="I143" s="149"/>
    </row>
    <row r="144" spans="1:9" ht="14.4" customHeight="1" x14ac:dyDescent="0.3">
      <c r="B144" s="121"/>
      <c r="C144" s="122"/>
      <c r="D144" s="121"/>
      <c r="E144" s="123"/>
      <c r="F144" s="129" t="s">
        <v>190</v>
      </c>
      <c r="G144" s="130" t="s">
        <v>191</v>
      </c>
      <c r="I144" s="149"/>
    </row>
    <row r="145" spans="2:9" ht="14.4" customHeight="1" thickBot="1" x14ac:dyDescent="0.35">
      <c r="B145" s="121"/>
      <c r="C145" s="122"/>
      <c r="D145" s="121"/>
      <c r="E145" s="123"/>
      <c r="F145" s="131" t="s">
        <v>164</v>
      </c>
      <c r="G145" s="132" t="s">
        <v>192</v>
      </c>
      <c r="I145" s="149"/>
    </row>
    <row r="146" spans="2:9" ht="14.4" customHeight="1" thickBot="1" x14ac:dyDescent="0.35">
      <c r="B146" s="135">
        <v>5</v>
      </c>
      <c r="C146" s="117" t="s">
        <v>206</v>
      </c>
      <c r="D146" s="118" t="s">
        <v>146</v>
      </c>
      <c r="E146" s="119" t="s">
        <v>147</v>
      </c>
      <c r="F146" s="119" t="s">
        <v>205</v>
      </c>
      <c r="G146" s="134" t="s">
        <v>148</v>
      </c>
      <c r="I146" s="149"/>
    </row>
    <row r="147" spans="2:9" ht="14.4" customHeight="1" x14ac:dyDescent="0.3">
      <c r="B147" s="121"/>
      <c r="C147" s="122" t="s">
        <v>193</v>
      </c>
      <c r="D147" s="121" t="s">
        <v>194</v>
      </c>
      <c r="E147" s="123" t="s">
        <v>195</v>
      </c>
      <c r="F147" s="124" t="s">
        <v>152</v>
      </c>
      <c r="G147" s="125"/>
      <c r="I147" s="149"/>
    </row>
    <row r="148" spans="2:9" ht="14.4" customHeight="1" x14ac:dyDescent="0.3">
      <c r="B148" s="121"/>
      <c r="C148" s="122"/>
      <c r="D148" s="121"/>
      <c r="E148" s="123"/>
      <c r="F148" s="126" t="s">
        <v>153</v>
      </c>
      <c r="G148" s="127" t="s">
        <v>196</v>
      </c>
      <c r="I148" s="149"/>
    </row>
    <row r="149" spans="2:9" ht="14.4" customHeight="1" x14ac:dyDescent="0.3">
      <c r="B149" s="121"/>
      <c r="C149" s="122"/>
      <c r="D149" s="121"/>
      <c r="E149" s="123"/>
      <c r="F149" s="126" t="s">
        <v>155</v>
      </c>
      <c r="G149" s="127" t="s">
        <v>197</v>
      </c>
      <c r="I149" s="149"/>
    </row>
    <row r="150" spans="2:9" ht="14.4" customHeight="1" x14ac:dyDescent="0.3">
      <c r="B150" s="121"/>
      <c r="C150" s="122"/>
      <c r="D150" s="121"/>
      <c r="E150" s="123"/>
      <c r="F150" s="126" t="s">
        <v>157</v>
      </c>
      <c r="G150" s="127" t="s">
        <v>198</v>
      </c>
      <c r="I150" s="149"/>
    </row>
    <row r="151" spans="2:9" ht="14.4" customHeight="1" x14ac:dyDescent="0.3">
      <c r="B151" s="121"/>
      <c r="C151" s="122"/>
      <c r="D151" s="121"/>
      <c r="E151" s="123"/>
      <c r="F151" s="126" t="s">
        <v>159</v>
      </c>
      <c r="G151" s="127" t="s">
        <v>199</v>
      </c>
      <c r="I151" s="149"/>
    </row>
    <row r="152" spans="2:9" ht="14.4" customHeight="1" thickBot="1" x14ac:dyDescent="0.35">
      <c r="B152" s="121"/>
      <c r="C152" s="122"/>
      <c r="D152" s="121"/>
      <c r="E152" s="123"/>
      <c r="F152" s="128" t="s">
        <v>161</v>
      </c>
      <c r="G152" s="121"/>
      <c r="I152" s="149"/>
    </row>
    <row r="153" spans="2:9" ht="14.4" customHeight="1" x14ac:dyDescent="0.3">
      <c r="B153" s="121"/>
      <c r="C153" s="122"/>
      <c r="D153" s="121"/>
      <c r="E153" s="123"/>
      <c r="F153" s="129" t="s">
        <v>173</v>
      </c>
      <c r="G153" s="130" t="s">
        <v>200</v>
      </c>
      <c r="I153" s="149"/>
    </row>
    <row r="154" spans="2:9" ht="14.4" customHeight="1" thickBot="1" x14ac:dyDescent="0.35">
      <c r="B154" s="121"/>
      <c r="C154" s="122"/>
      <c r="D154" s="121"/>
      <c r="E154" s="123"/>
      <c r="F154" s="131" t="s">
        <v>164</v>
      </c>
      <c r="G154" s="132" t="s">
        <v>201</v>
      </c>
      <c r="I154" s="149"/>
    </row>
    <row r="155" spans="2:9" ht="14.4" customHeight="1" thickBot="1" x14ac:dyDescent="0.35">
      <c r="B155" s="135">
        <v>6</v>
      </c>
      <c r="C155" s="117" t="s">
        <v>206</v>
      </c>
      <c r="D155" s="118" t="s">
        <v>146</v>
      </c>
      <c r="E155" s="119" t="s">
        <v>147</v>
      </c>
      <c r="F155" s="119" t="s">
        <v>205</v>
      </c>
      <c r="G155" s="134" t="s">
        <v>148</v>
      </c>
      <c r="I155" s="149"/>
    </row>
    <row r="156" spans="2:9" ht="14.4" customHeight="1" x14ac:dyDescent="0.3">
      <c r="B156" s="121"/>
      <c r="C156" s="141" t="s">
        <v>202</v>
      </c>
      <c r="D156" s="121" t="s">
        <v>203</v>
      </c>
      <c r="E156" s="123" t="s">
        <v>204</v>
      </c>
      <c r="F156" s="124" t="s">
        <v>152</v>
      </c>
      <c r="G156" s="125"/>
      <c r="I156" s="149"/>
    </row>
    <row r="157" spans="2:9" ht="14.4" customHeight="1" x14ac:dyDescent="0.3">
      <c r="B157" s="121"/>
      <c r="C157" s="141"/>
      <c r="D157" s="121"/>
      <c r="E157" s="123"/>
      <c r="F157" s="126" t="s">
        <v>153</v>
      </c>
      <c r="G157" s="127" t="s">
        <v>186</v>
      </c>
      <c r="I157" s="149"/>
    </row>
    <row r="158" spans="2:9" ht="14.4" customHeight="1" x14ac:dyDescent="0.3">
      <c r="B158" s="121"/>
      <c r="C158" s="141"/>
      <c r="D158" s="121"/>
      <c r="E158" s="123"/>
      <c r="F158" s="126" t="s">
        <v>155</v>
      </c>
      <c r="G158" s="127" t="s">
        <v>187</v>
      </c>
      <c r="I158" s="149"/>
    </row>
    <row r="159" spans="2:9" ht="14.4" customHeight="1" x14ac:dyDescent="0.3">
      <c r="B159" s="121"/>
      <c r="C159" s="141"/>
      <c r="D159" s="121"/>
      <c r="E159" s="123"/>
      <c r="F159" s="126" t="s">
        <v>157</v>
      </c>
      <c r="G159" s="127" t="s">
        <v>188</v>
      </c>
      <c r="I159" s="149"/>
    </row>
    <row r="160" spans="2:9" ht="14.4" customHeight="1" x14ac:dyDescent="0.3">
      <c r="B160" s="121"/>
      <c r="C160" s="141"/>
      <c r="D160" s="121"/>
      <c r="E160" s="123"/>
      <c r="F160" s="126" t="s">
        <v>159</v>
      </c>
      <c r="G160" s="127" t="s">
        <v>189</v>
      </c>
      <c r="I160" s="149"/>
    </row>
    <row r="161" spans="2:11" ht="14.4" customHeight="1" thickBot="1" x14ac:dyDescent="0.35">
      <c r="B161" s="121"/>
      <c r="C161" s="141"/>
      <c r="D161" s="121"/>
      <c r="E161" s="123"/>
      <c r="F161" s="128" t="s">
        <v>161</v>
      </c>
      <c r="G161" s="142"/>
      <c r="I161" s="149"/>
    </row>
    <row r="162" spans="2:11" ht="14.4" customHeight="1" thickBot="1" x14ac:dyDescent="0.35">
      <c r="B162" s="121"/>
      <c r="C162" s="141"/>
      <c r="D162" s="121"/>
      <c r="E162" s="123"/>
      <c r="F162" s="136" t="s">
        <v>179</v>
      </c>
      <c r="G162" s="130" t="s">
        <v>191</v>
      </c>
      <c r="I162" s="149"/>
    </row>
    <row r="163" spans="2:11" ht="14.4" customHeight="1" thickBot="1" x14ac:dyDescent="0.35">
      <c r="B163" s="121"/>
      <c r="C163" s="141"/>
      <c r="D163" s="121"/>
      <c r="E163" s="123"/>
      <c r="F163" s="137" t="s">
        <v>180</v>
      </c>
      <c r="G163" s="130" t="s">
        <v>191</v>
      </c>
      <c r="I163" s="149"/>
    </row>
    <row r="164" spans="2:11" ht="14.4" customHeight="1" thickBot="1" x14ac:dyDescent="0.35">
      <c r="B164" s="121"/>
      <c r="C164" s="141"/>
      <c r="D164" s="121"/>
      <c r="E164" s="123"/>
      <c r="F164" s="138" t="s">
        <v>181</v>
      </c>
      <c r="G164" s="139" t="s">
        <v>192</v>
      </c>
      <c r="I164" s="149"/>
    </row>
    <row r="165" spans="2:11" ht="14.4" customHeight="1" thickBot="1" x14ac:dyDescent="0.35">
      <c r="B165" s="142"/>
      <c r="C165" s="143"/>
      <c r="D165" s="142"/>
      <c r="E165" s="144"/>
      <c r="F165" s="140" t="s">
        <v>182</v>
      </c>
      <c r="G165" s="139" t="s">
        <v>192</v>
      </c>
      <c r="I165" s="149"/>
    </row>
    <row r="166" spans="2:11" ht="14.4" customHeight="1" x14ac:dyDescent="0.3">
      <c r="B166" s="154"/>
      <c r="C166" s="154"/>
      <c r="D166" s="154"/>
      <c r="E166" s="154"/>
      <c r="F166" s="155"/>
      <c r="G166" s="156"/>
      <c r="I166" s="40"/>
    </row>
    <row r="167" spans="2:11" ht="14.4" customHeight="1" thickBot="1" x14ac:dyDescent="0.3">
      <c r="I167" s="43" t="str">
        <f>CONCATENATE(I109,I110,I111,I112,I113,I114,I115,I116)</f>
        <v/>
      </c>
    </row>
    <row r="168" spans="2:11" ht="14.4" customHeight="1" thickBot="1" x14ac:dyDescent="0.35">
      <c r="I168" s="101" t="str">
        <f>IF(I167="","нестандартная",I167)</f>
        <v>нестандартная</v>
      </c>
      <c r="J168" s="102"/>
      <c r="K168" s="97" t="s">
        <v>121</v>
      </c>
    </row>
  </sheetData>
  <mergeCells count="5">
    <mergeCell ref="B36:E36"/>
    <mergeCell ref="C48:F48"/>
    <mergeCell ref="H48:K48"/>
    <mergeCell ref="B89:B90"/>
    <mergeCell ref="C89:H89"/>
  </mergeCells>
  <pageMargins left="0.27559055118110237" right="0.44" top="0.49" bottom="0.74803149606299213" header="0.31496062992125984" footer="0.31496062992125984"/>
  <pageSetup paperSize="9" scale="80" orientation="landscape" r:id="rId1"/>
  <ignoredErrors>
    <ignoredError sqref="B91:B9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ОЛ ПКУ</vt:lpstr>
      <vt:lpstr>Список</vt:lpstr>
      <vt:lpstr>_10_кВ</vt:lpstr>
      <vt:lpstr>_6_кВ</vt:lpstr>
      <vt:lpstr>ЗНОЛП_10</vt:lpstr>
      <vt:lpstr>ЗНОЛП_6</vt:lpstr>
      <vt:lpstr>класснапряжПКУ</vt:lpstr>
      <vt:lpstr>НОЛ.08_10М</vt:lpstr>
      <vt:lpstr>НОЛ.08_6М</vt:lpstr>
      <vt:lpstr>НОЛП_10</vt:lpstr>
      <vt:lpstr>НОЛП_6</vt:lpstr>
      <vt:lpstr>'ОЛ ПКУ'!Область_печати</vt:lpstr>
      <vt:lpstr>счвозмвстрмод</vt:lpstr>
      <vt:lpstr>счсвстрмод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Четвертня Никколай Николаевич</cp:lastModifiedBy>
  <cp:lastPrinted>2022-10-21T05:11:58Z</cp:lastPrinted>
  <dcterms:created xsi:type="dcterms:W3CDTF">2017-02-07T04:37:51Z</dcterms:created>
  <dcterms:modified xsi:type="dcterms:W3CDTF">2022-10-21T07:11:36Z</dcterms:modified>
</cp:coreProperties>
</file>